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Softbank\"/>
    </mc:Choice>
  </mc:AlternateContent>
  <bookViews>
    <workbookView xWindow="0" yWindow="0" windowWidth="12195" windowHeight="3180"/>
  </bookViews>
  <sheets>
    <sheet name="Pessimistisch" sheetId="9" r:id="rId1"/>
    <sheet name="Optimistisch" sheetId="8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9" l="1"/>
  <c r="D44" i="9"/>
  <c r="C53" i="9"/>
  <c r="H19" i="9"/>
  <c r="I19" i="9"/>
  <c r="J19" i="9"/>
  <c r="K11" i="9"/>
  <c r="K14" i="9"/>
  <c r="K15" i="9"/>
  <c r="K19" i="9"/>
  <c r="L11" i="9"/>
  <c r="L14" i="9"/>
  <c r="L15" i="9"/>
  <c r="L19" i="9"/>
  <c r="M11" i="9"/>
  <c r="M14" i="9"/>
  <c r="M15" i="9"/>
  <c r="M19" i="9"/>
  <c r="N11" i="9"/>
  <c r="N14" i="9"/>
  <c r="N15" i="9"/>
  <c r="N19" i="9"/>
  <c r="O11" i="9"/>
  <c r="O14" i="9"/>
  <c r="O15" i="9"/>
  <c r="O19" i="9"/>
  <c r="P11" i="9"/>
  <c r="P14" i="9"/>
  <c r="P15" i="9"/>
  <c r="P19" i="9"/>
  <c r="Q11" i="9"/>
  <c r="Q14" i="9"/>
  <c r="Q15" i="9"/>
  <c r="Q19" i="9"/>
  <c r="R11" i="9"/>
  <c r="R14" i="9"/>
  <c r="R15" i="9"/>
  <c r="R19" i="9"/>
  <c r="D47" i="9"/>
  <c r="D48" i="9"/>
  <c r="D49" i="9"/>
  <c r="D50" i="9"/>
  <c r="C47" i="9"/>
  <c r="D42" i="9"/>
  <c r="D41" i="9"/>
  <c r="D40" i="9"/>
  <c r="D39" i="9"/>
  <c r="D38" i="9"/>
  <c r="G16" i="9"/>
  <c r="F16" i="9"/>
  <c r="E16" i="9"/>
  <c r="G13" i="9"/>
  <c r="F13" i="9"/>
  <c r="E13" i="9"/>
  <c r="D13" i="9"/>
  <c r="C13" i="9"/>
  <c r="G12" i="9"/>
  <c r="F12" i="9"/>
  <c r="E12" i="9"/>
  <c r="D12" i="9"/>
  <c r="K11" i="8"/>
  <c r="K14" i="8"/>
  <c r="H12" i="8"/>
  <c r="I12" i="8"/>
  <c r="J12" i="8"/>
  <c r="G12" i="8"/>
  <c r="I13" i="8"/>
  <c r="J13" i="8"/>
  <c r="H13" i="8"/>
  <c r="D44" i="8"/>
  <c r="C53" i="8"/>
  <c r="H19" i="8"/>
  <c r="I19" i="8"/>
  <c r="J19" i="8"/>
  <c r="K15" i="8"/>
  <c r="K19" i="8"/>
  <c r="L11" i="8"/>
  <c r="L14" i="8"/>
  <c r="L15" i="8"/>
  <c r="L19" i="8"/>
  <c r="M11" i="8"/>
  <c r="M14" i="8"/>
  <c r="M15" i="8"/>
  <c r="M19" i="8"/>
  <c r="N11" i="8"/>
  <c r="N14" i="8"/>
  <c r="N15" i="8"/>
  <c r="N19" i="8"/>
  <c r="O11" i="8"/>
  <c r="O14" i="8"/>
  <c r="O15" i="8"/>
  <c r="O19" i="8"/>
  <c r="P11" i="8"/>
  <c r="P14" i="8"/>
  <c r="P15" i="8"/>
  <c r="P19" i="8"/>
  <c r="Q11" i="8"/>
  <c r="Q14" i="8"/>
  <c r="Q15" i="8"/>
  <c r="Q19" i="8"/>
  <c r="R11" i="8"/>
  <c r="R14" i="8"/>
  <c r="R15" i="8"/>
  <c r="R19" i="8"/>
  <c r="D47" i="8"/>
  <c r="D48" i="8"/>
  <c r="D49" i="8"/>
  <c r="D50" i="8"/>
  <c r="C47" i="8"/>
  <c r="D42" i="8"/>
  <c r="D41" i="8"/>
  <c r="D40" i="8"/>
  <c r="D39" i="8"/>
  <c r="D38" i="8"/>
  <c r="G16" i="8"/>
  <c r="F16" i="8"/>
  <c r="E16" i="8"/>
  <c r="G13" i="8"/>
  <c r="F13" i="8"/>
  <c r="E13" i="8"/>
  <c r="D13" i="8"/>
  <c r="C13" i="8"/>
  <c r="F12" i="8"/>
  <c r="E12" i="8"/>
  <c r="D12" i="8"/>
  <c r="I14" i="9"/>
  <c r="J14" i="9"/>
</calcChain>
</file>

<file path=xl/sharedStrings.xml><?xml version="1.0" encoding="utf-8"?>
<sst xmlns="http://schemas.openxmlformats.org/spreadsheetml/2006/main" count="72" uniqueCount="36">
  <si>
    <t>Bewertung</t>
  </si>
  <si>
    <t>Umsatz-Wachstum, %</t>
  </si>
  <si>
    <t>Unterbewertung</t>
  </si>
  <si>
    <t>Fairer Wert</t>
  </si>
  <si>
    <t>Diskontierungsfaktor (WACC)</t>
  </si>
  <si>
    <t>Umsatz</t>
  </si>
  <si>
    <t>Verhältnis EBIT zu Konzerngewinn:</t>
  </si>
  <si>
    <t>Bestimmung des WACC:</t>
  </si>
  <si>
    <t>Branche</t>
  </si>
  <si>
    <t>Gesamt Branche:</t>
  </si>
  <si>
    <t>EK Quote:</t>
  </si>
  <si>
    <t>Vereinfachter WACC:</t>
  </si>
  <si>
    <t>Fairer Wert Vz Aktie</t>
  </si>
  <si>
    <t>Fairer Wert St. Aktie</t>
  </si>
  <si>
    <t>Schätzungen »</t>
  </si>
  <si>
    <t>WACC gesamt</t>
  </si>
  <si>
    <t>Discounted Net-Profit Modell</t>
  </si>
  <si>
    <t>Anzahl Aktien gesamt, Mio.</t>
  </si>
  <si>
    <t>Abgezinster Gewinn:</t>
  </si>
  <si>
    <t xml:space="preserve">Kurs pro Aktie </t>
  </si>
  <si>
    <t>EBT</t>
  </si>
  <si>
    <t>EBT-Marge, %</t>
  </si>
  <si>
    <t>2032ff.</t>
  </si>
  <si>
    <t>Gewinn (Steuern/sonstiges)</t>
  </si>
  <si>
    <t>JPY</t>
  </si>
  <si>
    <t>Finanzwesen</t>
  </si>
  <si>
    <t xml:space="preserve">Hohe Verschuldung </t>
  </si>
  <si>
    <t>Das Geschäftsmodell der SoftBank Group ist natürlich riskant. Daher</t>
  </si>
  <si>
    <t xml:space="preserve">wird ein recht hoher Abzinsungssatz herangezogen. </t>
  </si>
  <si>
    <t xml:space="preserve">Die Verschuldung ist insgesamt relativ moderat, aber dennoch hoch. </t>
  </si>
  <si>
    <t xml:space="preserve">Ein Aufschlag von 1 % ist für uns angemessen. </t>
  </si>
  <si>
    <t>Optimistischce Annahmen für SoftBank Group</t>
  </si>
  <si>
    <t>Alle Angaben in Mrd. JPY</t>
  </si>
  <si>
    <t>Marktkapitalisierung, Mrd.</t>
  </si>
  <si>
    <t>Anzahl Aktien gesamt, Mrd.</t>
  </si>
  <si>
    <t>Großzügig: 20 % Abschlag vom 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</si>
</sst>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dd\.mm\.yy;@"/>
    <numFmt numFmtId="165" formatCode="#,##0.0"/>
    <numFmt numFmtId="166" formatCode="0.0%"/>
    <numFmt numFmtId="167" formatCode="#,##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9" fontId="0" fillId="2" borderId="0" xfId="1" applyFont="1" applyFill="1"/>
    <xf numFmtId="0" fontId="0" fillId="2" borderId="0" xfId="0" applyFill="1" applyAlignment="1">
      <alignment wrapText="1"/>
    </xf>
    <xf numFmtId="0" fontId="5" fillId="2" borderId="0" xfId="0" applyFont="1" applyFill="1"/>
    <xf numFmtId="38" fontId="0" fillId="2" borderId="0" xfId="0" applyNumberFormat="1" applyFill="1"/>
    <xf numFmtId="3" fontId="4" fillId="2" borderId="0" xfId="0" quotePrefix="1" applyNumberFormat="1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44" fontId="3" fillId="2" borderId="0" xfId="3" applyFont="1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3" fontId="0" fillId="5" borderId="0" xfId="0" applyNumberFormat="1" applyFont="1" applyFill="1"/>
    <xf numFmtId="9" fontId="0" fillId="5" borderId="0" xfId="1" applyFont="1" applyFill="1"/>
    <xf numFmtId="3" fontId="0" fillId="5" borderId="0" xfId="0" applyNumberFormat="1" applyFill="1"/>
    <xf numFmtId="9" fontId="1" fillId="6" borderId="0" xfId="1" applyFont="1" applyFill="1"/>
    <xf numFmtId="3" fontId="0" fillId="7" borderId="0" xfId="0" applyNumberFormat="1" applyFont="1" applyFill="1"/>
    <xf numFmtId="9" fontId="1" fillId="7" borderId="0" xfId="1" applyFont="1" applyFill="1"/>
    <xf numFmtId="166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0" fontId="0" fillId="2" borderId="2" xfId="0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6" fontId="1" fillId="2" borderId="0" xfId="1" applyNumberFormat="1" applyFont="1" applyFill="1" applyBorder="1"/>
    <xf numFmtId="3" fontId="3" fillId="2" borderId="0" xfId="0" applyNumberFormat="1" applyFont="1" applyFill="1" applyBorder="1"/>
    <xf numFmtId="166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165" fontId="0" fillId="8" borderId="0" xfId="0" applyNumberFormat="1" applyFill="1"/>
    <xf numFmtId="9" fontId="0" fillId="8" borderId="0" xfId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167" fontId="0" fillId="8" borderId="0" xfId="0" applyNumberFormat="1" applyFont="1" applyFill="1"/>
    <xf numFmtId="9" fontId="1" fillId="2" borderId="0" xfId="1" applyFont="1" applyFill="1"/>
  </cellXfs>
  <cellStyles count="4">
    <cellStyle name="Prozent" xfId="1" builtinId="5"/>
    <cellStyle name="Prozent 2" xfId="2"/>
    <cellStyle name="Standard" xfId="0" builtinId="0"/>
    <cellStyle name="Währung" xfId="3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CCCCFF"/>
      <color rgb="FF9966FF"/>
      <color rgb="FF9900CC"/>
      <color rgb="FFFFEB7D"/>
      <color rgb="FFFFD802"/>
      <color rgb="FFFFFAE0"/>
      <color rgb="FFCBD5E0"/>
      <color rgb="FFFFE1E2"/>
      <color rgb="FF9CF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/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/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/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/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tabSelected="1" zoomScale="80" zoomScaleNormal="80" workbookViewId="0">
      <selection activeCell="L23" sqref="L23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6" width="10.625" style="1"/>
    <col min="17" max="18" width="10.625" style="1" customWidth="1"/>
    <col min="19" max="16384" width="10.625" style="1"/>
  </cols>
  <sheetData>
    <row r="2" spans="1:28" ht="26.25" x14ac:dyDescent="0.4">
      <c r="B2" s="45" t="s">
        <v>16</v>
      </c>
    </row>
    <row r="4" spans="1:28" x14ac:dyDescent="0.25">
      <c r="B4" s="35" t="s">
        <v>31</v>
      </c>
    </row>
    <row r="6" spans="1:28" x14ac:dyDescent="0.25">
      <c r="B6" s="1" t="s">
        <v>32</v>
      </c>
    </row>
    <row r="9" spans="1:28" s="11" customFormat="1" x14ac:dyDescent="0.25">
      <c r="H9" s="13" t="s">
        <v>14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7"/>
      <c r="B10" s="7"/>
      <c r="C10" s="15">
        <v>2017</v>
      </c>
      <c r="D10" s="15">
        <v>2018</v>
      </c>
      <c r="E10" s="15">
        <v>2019</v>
      </c>
      <c r="F10" s="15">
        <v>2020</v>
      </c>
      <c r="G10" s="15">
        <v>2021</v>
      </c>
      <c r="H10" s="74">
        <v>2022</v>
      </c>
      <c r="I10" s="74">
        <v>2023</v>
      </c>
      <c r="J10" s="74">
        <v>2024</v>
      </c>
      <c r="K10" s="74">
        <v>2025</v>
      </c>
      <c r="L10" s="74">
        <v>2026</v>
      </c>
      <c r="M10" s="74">
        <v>2027</v>
      </c>
      <c r="N10" s="74">
        <v>2028</v>
      </c>
      <c r="O10" s="74">
        <v>2029</v>
      </c>
      <c r="P10" s="74">
        <v>2030</v>
      </c>
      <c r="Q10" s="74">
        <v>2031</v>
      </c>
      <c r="R10" s="73" t="s">
        <v>22</v>
      </c>
    </row>
    <row r="11" spans="1:28" x14ac:dyDescent="0.25">
      <c r="A11" s="8"/>
      <c r="B11" s="7" t="s">
        <v>5</v>
      </c>
      <c r="C11" s="16">
        <v>8901</v>
      </c>
      <c r="D11" s="16">
        <v>9158.77</v>
      </c>
      <c r="E11" s="16">
        <v>9602.2360000000008</v>
      </c>
      <c r="F11" s="16">
        <v>6185.09</v>
      </c>
      <c r="G11" s="16">
        <v>5628.17</v>
      </c>
      <c r="H11" s="20">
        <v>5628.17</v>
      </c>
      <c r="I11" s="20">
        <v>5628.17</v>
      </c>
      <c r="J11" s="20">
        <v>5628.17</v>
      </c>
      <c r="K11" s="20">
        <f t="shared" ref="K11:L11" si="0">J11*(1+K12)</f>
        <v>5797.0151000000005</v>
      </c>
      <c r="L11" s="20">
        <f t="shared" si="0"/>
        <v>5970.9255530000009</v>
      </c>
      <c r="M11" s="20">
        <f>L11*(1+M12)</f>
        <v>6150.0533195900007</v>
      </c>
      <c r="N11" s="20">
        <f t="shared" ref="N11:R11" si="1">M11*(1+N12)</f>
        <v>6334.5549191777009</v>
      </c>
      <c r="O11" s="20">
        <f t="shared" si="1"/>
        <v>6524.5915667530317</v>
      </c>
      <c r="P11" s="20">
        <f t="shared" si="1"/>
        <v>6655.0833980880925</v>
      </c>
      <c r="Q11" s="20">
        <f t="shared" si="1"/>
        <v>6788.1850660498549</v>
      </c>
      <c r="R11" s="20">
        <f t="shared" si="1"/>
        <v>6890.0078420406016</v>
      </c>
    </row>
    <row r="12" spans="1:28" x14ac:dyDescent="0.25">
      <c r="A12" s="8"/>
      <c r="B12" s="7" t="s">
        <v>1</v>
      </c>
      <c r="C12" s="17"/>
      <c r="D12" s="17">
        <f>D11/C11-1</f>
        <v>2.8959667453095195E-2</v>
      </c>
      <c r="E12" s="17">
        <f>E11/D11-1</f>
        <v>4.8419820565425375E-2</v>
      </c>
      <c r="F12" s="17">
        <f>F11/E11-1</f>
        <v>-0.35586982032101688</v>
      </c>
      <c r="G12" s="17">
        <f>G11/F11-1</f>
        <v>-9.0042343765410093E-2</v>
      </c>
      <c r="H12" s="22">
        <v>0.02</v>
      </c>
      <c r="I12" s="22">
        <v>0.02</v>
      </c>
      <c r="J12" s="22">
        <v>0.02</v>
      </c>
      <c r="K12" s="22">
        <v>0.03</v>
      </c>
      <c r="L12" s="22">
        <v>0.03</v>
      </c>
      <c r="M12" s="22">
        <v>0.03</v>
      </c>
      <c r="N12" s="22">
        <v>0.03</v>
      </c>
      <c r="O12" s="22">
        <v>0.03</v>
      </c>
      <c r="P12" s="22">
        <v>0.02</v>
      </c>
      <c r="Q12" s="22">
        <v>0.02</v>
      </c>
      <c r="R12" s="22">
        <v>1.4999999999999999E-2</v>
      </c>
    </row>
    <row r="13" spans="1:28" ht="15.95" customHeight="1" x14ac:dyDescent="0.25">
      <c r="A13" s="8"/>
      <c r="B13" s="7" t="s">
        <v>21</v>
      </c>
      <c r="C13" s="17">
        <f>C14/C11</f>
        <v>8.0050106729580947E-2</v>
      </c>
      <c r="D13" s="17">
        <f t="shared" ref="D13:G13" si="2">D14/D11</f>
        <v>4.1995813848366099E-2</v>
      </c>
      <c r="E13" s="17">
        <f t="shared" si="2"/>
        <v>0.17523762173727034</v>
      </c>
      <c r="F13" s="17">
        <f t="shared" si="2"/>
        <v>8.0901005482539451E-3</v>
      </c>
      <c r="G13" s="17">
        <f t="shared" si="2"/>
        <v>1.0075132769621387</v>
      </c>
      <c r="H13" s="21">
        <v>0.3</v>
      </c>
      <c r="I13" s="21">
        <v>0.25</v>
      </c>
      <c r="J13" s="21">
        <v>0.25</v>
      </c>
      <c r="K13" s="21">
        <v>0.17</v>
      </c>
      <c r="L13" s="21">
        <v>0.17</v>
      </c>
      <c r="M13" s="21">
        <v>0.17</v>
      </c>
      <c r="N13" s="21">
        <v>0.17</v>
      </c>
      <c r="O13" s="21">
        <v>0.17</v>
      </c>
      <c r="P13" s="21">
        <v>0.17</v>
      </c>
      <c r="Q13" s="21">
        <v>0.17</v>
      </c>
      <c r="R13" s="21">
        <v>0.17</v>
      </c>
      <c r="S13" s="77"/>
    </row>
    <row r="14" spans="1:28" ht="17.100000000000001" customHeight="1" x14ac:dyDescent="0.25">
      <c r="A14" s="8"/>
      <c r="B14" s="7" t="s">
        <v>20</v>
      </c>
      <c r="C14" s="16">
        <v>712.52599999999995</v>
      </c>
      <c r="D14" s="16">
        <v>384.63</v>
      </c>
      <c r="E14" s="16">
        <v>1682.673</v>
      </c>
      <c r="F14" s="16">
        <v>50.037999999999997</v>
      </c>
      <c r="G14" s="16">
        <v>5670.4560000000001</v>
      </c>
      <c r="H14" s="20">
        <f>H11*H13</f>
        <v>1688.451</v>
      </c>
      <c r="I14" s="20">
        <f t="shared" ref="I14:J14" si="3">I11*I13</f>
        <v>1407.0425</v>
      </c>
      <c r="J14" s="20">
        <f t="shared" si="3"/>
        <v>1407.0425</v>
      </c>
      <c r="K14" s="20">
        <f>K11*K13</f>
        <v>985.49256700000012</v>
      </c>
      <c r="L14" s="20">
        <f t="shared" ref="L14:R14" si="4">L11*L13</f>
        <v>1015.0573440100002</v>
      </c>
      <c r="M14" s="20">
        <f t="shared" si="4"/>
        <v>1045.5090643303001</v>
      </c>
      <c r="N14" s="20">
        <f t="shared" si="4"/>
        <v>1076.8743362602092</v>
      </c>
      <c r="O14" s="20">
        <f>O11*O13</f>
        <v>1109.1805663480154</v>
      </c>
      <c r="P14" s="20">
        <f t="shared" si="4"/>
        <v>1131.3641776749757</v>
      </c>
      <c r="Q14" s="20">
        <f t="shared" si="4"/>
        <v>1153.9914612284754</v>
      </c>
      <c r="R14" s="20">
        <f t="shared" si="4"/>
        <v>1171.3013331469024</v>
      </c>
    </row>
    <row r="15" spans="1:28" ht="16.5" thickBot="1" x14ac:dyDescent="0.3">
      <c r="A15" s="19">
        <v>0.2</v>
      </c>
      <c r="B15" s="7" t="s">
        <v>23</v>
      </c>
      <c r="C15" s="18">
        <v>1474.43</v>
      </c>
      <c r="D15" s="16">
        <v>1237.8119999999999</v>
      </c>
      <c r="E15" s="16">
        <v>1454.6179999999999</v>
      </c>
      <c r="F15" s="16">
        <v>-800.76</v>
      </c>
      <c r="G15" s="16">
        <v>5078.2299999999996</v>
      </c>
      <c r="H15" s="20">
        <v>1037</v>
      </c>
      <c r="I15" s="20">
        <v>1093</v>
      </c>
      <c r="J15" s="20">
        <v>1405</v>
      </c>
      <c r="K15" s="20">
        <f t="shared" ref="K15:Q15" si="5">K14*(1-$A$15)</f>
        <v>788.39405360000012</v>
      </c>
      <c r="L15" s="20">
        <f t="shared" si="5"/>
        <v>812.04587520800021</v>
      </c>
      <c r="M15" s="20">
        <f t="shared" si="5"/>
        <v>836.40725146424018</v>
      </c>
      <c r="N15" s="20">
        <f t="shared" si="5"/>
        <v>861.49946900816747</v>
      </c>
      <c r="O15" s="20">
        <f t="shared" si="5"/>
        <v>887.34445307841236</v>
      </c>
      <c r="P15" s="20">
        <f t="shared" si="5"/>
        <v>905.09134213998061</v>
      </c>
      <c r="Q15" s="20">
        <f t="shared" si="5"/>
        <v>923.19316898278032</v>
      </c>
      <c r="R15" s="20">
        <f>R14*(1-$A$15)</f>
        <v>937.04106651752193</v>
      </c>
    </row>
    <row r="16" spans="1:28" ht="32.25" thickBot="1" x14ac:dyDescent="0.3">
      <c r="A16" s="23" t="s">
        <v>6</v>
      </c>
      <c r="B16" s="24"/>
      <c r="C16" s="25"/>
      <c r="D16" s="25"/>
      <c r="E16" s="26">
        <f>E15/E14</f>
        <v>0.86446861630275162</v>
      </c>
      <c r="F16" s="26">
        <f>F15/F14</f>
        <v>-16.003037691354571</v>
      </c>
      <c r="G16" s="27">
        <f>G15/G14</f>
        <v>0.89555936947575288</v>
      </c>
    </row>
    <row r="17" spans="1:18" x14ac:dyDescent="0.25">
      <c r="A17" s="3"/>
      <c r="G17" s="9"/>
      <c r="H17" s="9"/>
      <c r="I17" s="9"/>
      <c r="J17" s="9"/>
      <c r="K17" s="9"/>
      <c r="L17" s="9"/>
      <c r="M17" s="9"/>
      <c r="N17" s="9"/>
      <c r="O17" s="9"/>
      <c r="P17" s="4"/>
      <c r="Q17" s="4"/>
      <c r="R17" s="4"/>
    </row>
    <row r="18" spans="1:18" ht="16.5" thickBot="1" x14ac:dyDescent="0.3">
      <c r="A18" s="3"/>
      <c r="G18" s="9"/>
      <c r="I18" s="9"/>
      <c r="J18" s="9"/>
      <c r="K18" s="9"/>
      <c r="L18" s="9"/>
      <c r="M18" s="9"/>
      <c r="N18" s="9"/>
      <c r="O18" s="9"/>
      <c r="P18" s="4"/>
      <c r="Q18" s="4"/>
      <c r="R18" s="4"/>
    </row>
    <row r="19" spans="1:18" ht="16.5" thickBot="1" x14ac:dyDescent="0.3">
      <c r="A19" s="3"/>
      <c r="F19" s="69" t="s">
        <v>18</v>
      </c>
      <c r="G19" s="70"/>
      <c r="H19" s="71">
        <f>H15/(1+$C$53)</f>
        <v>947.03196347031962</v>
      </c>
      <c r="I19" s="71">
        <f>I15/(1+$C$53)^2</f>
        <v>911.57398719793161</v>
      </c>
      <c r="J19" s="71">
        <f>J15/(1+$C$53)^3</f>
        <v>1070.1236611672402</v>
      </c>
      <c r="K19" s="71">
        <f>K15/(1+$C$53)^4</f>
        <v>548.38663681952164</v>
      </c>
      <c r="L19" s="71">
        <f>L15/(1+$C$53)^5</f>
        <v>515.83400541014373</v>
      </c>
      <c r="M19" s="71">
        <f>M15/(1+$C$53)^6</f>
        <v>485.21372198397074</v>
      </c>
      <c r="N19" s="71">
        <f>N15/(1+$C$53)^7</f>
        <v>456.41108095295886</v>
      </c>
      <c r="O19" s="71">
        <f>O15/(1+$C$53)^8</f>
        <v>429.31818573657307</v>
      </c>
      <c r="P19" s="71">
        <f>P15/(1+$C$53)^9</f>
        <v>399.91283054913663</v>
      </c>
      <c r="Q19" s="71">
        <f>Q15/(1+$C$53)^10</f>
        <v>372.52154078549711</v>
      </c>
      <c r="R19" s="72">
        <f>(R15/(C53-R12))/(1+C53)^10</f>
        <v>4726.3670487159943</v>
      </c>
    </row>
    <row r="20" spans="1:18" x14ac:dyDescent="0.25">
      <c r="A20" s="3"/>
      <c r="C20" s="1" t="s">
        <v>35</v>
      </c>
      <c r="G20" s="9"/>
      <c r="H20" s="10"/>
      <c r="I20" s="9"/>
      <c r="J20" s="9"/>
      <c r="K20" s="9"/>
      <c r="L20" s="9"/>
      <c r="M20" s="9"/>
      <c r="N20" s="9"/>
      <c r="O20" s="9"/>
      <c r="P20" s="4"/>
      <c r="Q20" s="4"/>
      <c r="R20" s="4"/>
    </row>
    <row r="21" spans="1:18" x14ac:dyDescent="0.25">
      <c r="A21" s="3"/>
      <c r="P21" s="4"/>
      <c r="Q21" s="4"/>
      <c r="R21" s="4"/>
    </row>
    <row r="22" spans="1:18" ht="16.5" thickBot="1" x14ac:dyDescent="0.3">
      <c r="P22" s="4"/>
      <c r="Q22" s="4"/>
      <c r="R22" s="4"/>
    </row>
    <row r="23" spans="1:18" x14ac:dyDescent="0.25">
      <c r="A23" s="46" t="s">
        <v>7</v>
      </c>
      <c r="B23" s="47"/>
      <c r="C23" s="47"/>
      <c r="D23" s="48"/>
      <c r="E23" s="36"/>
      <c r="F23" s="47"/>
      <c r="G23" s="36"/>
      <c r="H23" s="36"/>
      <c r="I23" s="36"/>
      <c r="J23" s="37"/>
    </row>
    <row r="24" spans="1:18" x14ac:dyDescent="0.25">
      <c r="A24" s="49"/>
      <c r="B24" s="50"/>
      <c r="C24" s="50"/>
      <c r="D24" s="51"/>
      <c r="E24" s="50"/>
      <c r="F24" s="50"/>
      <c r="G24" s="39"/>
      <c r="H24" s="39"/>
      <c r="I24" s="39"/>
      <c r="J24" s="40"/>
    </row>
    <row r="25" spans="1:18" x14ac:dyDescent="0.25">
      <c r="A25" s="49" t="s">
        <v>8</v>
      </c>
      <c r="B25" s="50" t="s">
        <v>25</v>
      </c>
      <c r="C25" s="50"/>
      <c r="D25" s="52">
        <v>8.5000000000000006E-2</v>
      </c>
      <c r="E25" s="39"/>
      <c r="F25" s="50" t="s">
        <v>27</v>
      </c>
      <c r="G25" s="39"/>
      <c r="H25" s="39"/>
      <c r="I25" s="39"/>
      <c r="J25" s="40"/>
    </row>
    <row r="26" spans="1:18" x14ac:dyDescent="0.25">
      <c r="A26" s="49"/>
      <c r="B26" s="50"/>
      <c r="C26" s="50"/>
      <c r="D26" s="52"/>
      <c r="E26" s="39"/>
      <c r="F26" s="50" t="s">
        <v>28</v>
      </c>
      <c r="G26" s="39"/>
      <c r="H26" s="39"/>
      <c r="I26" s="39"/>
      <c r="J26" s="40"/>
      <c r="M26" s="39"/>
      <c r="N26" s="39"/>
      <c r="O26" s="39"/>
    </row>
    <row r="27" spans="1:18" x14ac:dyDescent="0.25">
      <c r="A27" s="49"/>
      <c r="B27" s="50"/>
      <c r="C27" s="50"/>
      <c r="D27" s="53"/>
      <c r="E27" s="39"/>
      <c r="F27" s="50"/>
      <c r="G27" s="39"/>
      <c r="H27" s="39"/>
      <c r="I27" s="39"/>
      <c r="J27" s="40"/>
      <c r="M27" s="39"/>
      <c r="N27" s="39"/>
      <c r="O27" s="39"/>
    </row>
    <row r="28" spans="1:18" x14ac:dyDescent="0.25">
      <c r="A28" s="49"/>
      <c r="B28" s="50" t="s">
        <v>9</v>
      </c>
      <c r="C28" s="50"/>
      <c r="D28" s="54">
        <v>8.5000000000000006E-2</v>
      </c>
      <c r="E28" s="39"/>
      <c r="F28" s="50"/>
      <c r="G28" s="39"/>
      <c r="H28" s="39"/>
      <c r="I28" s="39"/>
      <c r="J28" s="40"/>
      <c r="M28" s="39"/>
      <c r="N28" s="39"/>
      <c r="O28" s="39"/>
      <c r="R28" s="6"/>
    </row>
    <row r="29" spans="1:18" x14ac:dyDescent="0.25">
      <c r="A29" s="49"/>
      <c r="B29" s="50"/>
      <c r="C29" s="50"/>
      <c r="D29" s="51"/>
      <c r="E29" s="39"/>
      <c r="F29" s="50"/>
      <c r="G29" s="39"/>
      <c r="H29" s="39"/>
      <c r="I29" s="39"/>
      <c r="J29" s="40"/>
      <c r="M29" s="39"/>
      <c r="N29" s="41"/>
      <c r="O29" s="39"/>
      <c r="R29" s="6"/>
    </row>
    <row r="30" spans="1:18" x14ac:dyDescent="0.25">
      <c r="A30" s="38"/>
      <c r="B30" s="39"/>
      <c r="C30" s="55"/>
      <c r="D30" s="39"/>
      <c r="E30" s="50"/>
      <c r="F30" s="50"/>
      <c r="G30" s="39"/>
      <c r="H30" s="39"/>
      <c r="I30" s="39"/>
      <c r="J30" s="40"/>
      <c r="M30" s="39"/>
      <c r="N30" s="39"/>
      <c r="O30" s="39"/>
      <c r="P30" s="2"/>
      <c r="Q30" s="2"/>
      <c r="R30" s="2"/>
    </row>
    <row r="31" spans="1:18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/>
      <c r="M31" s="39"/>
      <c r="N31" s="39"/>
      <c r="O31" s="39"/>
    </row>
    <row r="32" spans="1:18" x14ac:dyDescent="0.25">
      <c r="A32" s="49" t="s">
        <v>10</v>
      </c>
      <c r="B32" s="50" t="s">
        <v>26</v>
      </c>
      <c r="C32" s="56"/>
      <c r="D32" s="41">
        <v>0.01</v>
      </c>
      <c r="E32" s="39"/>
      <c r="F32" s="39" t="s">
        <v>29</v>
      </c>
      <c r="G32" s="39"/>
      <c r="H32" s="39"/>
      <c r="I32" s="39"/>
      <c r="J32" s="40"/>
    </row>
    <row r="33" spans="1:10" ht="15.75" hidden="1" customHeight="1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40"/>
    </row>
    <row r="34" spans="1:10" ht="15.75" hidden="1" customHeight="1" x14ac:dyDescent="0.25">
      <c r="A34" s="38"/>
      <c r="B34" s="39" t="s">
        <v>11</v>
      </c>
      <c r="C34" s="39"/>
      <c r="D34" s="57">
        <v>0.08</v>
      </c>
      <c r="E34" s="39"/>
      <c r="F34" s="39"/>
      <c r="G34" s="39"/>
      <c r="H34" s="39"/>
      <c r="I34" s="39"/>
      <c r="J34" s="40"/>
    </row>
    <row r="35" spans="1:10" ht="15.75" hidden="1" customHeight="1" x14ac:dyDescent="0.25">
      <c r="A35" s="38"/>
      <c r="B35" s="39"/>
      <c r="C35" s="39"/>
      <c r="D35" s="39"/>
      <c r="E35" s="39"/>
      <c r="F35" s="39"/>
      <c r="G35" s="39"/>
      <c r="H35" s="39"/>
      <c r="I35" s="39"/>
      <c r="J35" s="40"/>
    </row>
    <row r="36" spans="1:10" ht="15.75" hidden="1" customHeight="1" x14ac:dyDescent="0.25">
      <c r="A36" s="38"/>
      <c r="B36" s="39"/>
      <c r="C36" s="39"/>
      <c r="D36" s="39"/>
      <c r="E36" s="39"/>
      <c r="F36" s="39"/>
      <c r="G36" s="39"/>
      <c r="H36" s="39"/>
      <c r="I36" s="39"/>
      <c r="J36" s="40"/>
    </row>
    <row r="37" spans="1:10" ht="15.75" hidden="1" customHeight="1" x14ac:dyDescent="0.25">
      <c r="A37" s="38"/>
      <c r="B37" s="39"/>
      <c r="C37" s="39"/>
      <c r="D37" s="39"/>
      <c r="E37" s="39"/>
      <c r="F37" s="39"/>
      <c r="G37" s="39"/>
      <c r="H37" s="39"/>
      <c r="I37" s="39"/>
      <c r="J37" s="40"/>
    </row>
    <row r="38" spans="1:10" hidden="1" x14ac:dyDescent="0.25">
      <c r="A38" s="38"/>
      <c r="B38" s="58"/>
      <c r="C38" s="58">
        <v>0.12</v>
      </c>
      <c r="D38" s="58" t="e">
        <f>((NPV(C38,$H$15:$R$15)+(#REF!*(1+#REF!)/(C38-#REF!))/(1+C38)^(2040-2020))/$D$48)/$C$49-1</f>
        <v>#REF!</v>
      </c>
      <c r="E38" s="39"/>
      <c r="F38" s="39"/>
      <c r="G38" s="39"/>
      <c r="H38" s="39"/>
      <c r="I38" s="39"/>
      <c r="J38" s="40"/>
    </row>
    <row r="39" spans="1:10" hidden="1" x14ac:dyDescent="0.25">
      <c r="A39" s="38"/>
      <c r="B39" s="58"/>
      <c r="C39" s="58">
        <v>0.14000000000000001</v>
      </c>
      <c r="D39" s="58" t="e">
        <f>((NPV(C39,$H$15:$R$15)+(#REF!*(1+#REF!)/(C39-#REF!))/(1+C39)^(2040-2020))/$D$48)/$C$49-1</f>
        <v>#REF!</v>
      </c>
      <c r="E39" s="39"/>
      <c r="F39" s="39"/>
      <c r="G39" s="39"/>
      <c r="H39" s="39"/>
      <c r="I39" s="39"/>
      <c r="J39" s="40"/>
    </row>
    <row r="40" spans="1:10" hidden="1" x14ac:dyDescent="0.25">
      <c r="A40" s="38"/>
      <c r="B40" s="58"/>
      <c r="C40" s="58">
        <v>0.16</v>
      </c>
      <c r="D40" s="58" t="e">
        <f>((NPV(C40,$H$15:$R$15)+(#REF!*(1+#REF!)/(C40-#REF!))/(1+C40)^(2040-2020))/$D$48)/$C$49-1</f>
        <v>#REF!</v>
      </c>
      <c r="E40" s="39"/>
      <c r="F40" s="39"/>
      <c r="G40" s="39"/>
      <c r="H40" s="39"/>
      <c r="I40" s="39"/>
      <c r="J40" s="40"/>
    </row>
    <row r="41" spans="1:10" hidden="1" x14ac:dyDescent="0.25">
      <c r="A41" s="38"/>
      <c r="B41" s="58"/>
      <c r="C41" s="58">
        <v>0.18</v>
      </c>
      <c r="D41" s="58" t="e">
        <f>((NPV(C41,$H$15:$R$15)+(#REF!*(1+#REF!)/(C41-#REF!))/(1+C41)^(2040-2020))/$D$48)/$C$49-1</f>
        <v>#REF!</v>
      </c>
      <c r="E41" s="39"/>
      <c r="F41" s="39"/>
      <c r="G41" s="39"/>
      <c r="H41" s="39"/>
      <c r="I41" s="39"/>
      <c r="J41" s="40"/>
    </row>
    <row r="42" spans="1:10" hidden="1" x14ac:dyDescent="0.25">
      <c r="A42" s="38"/>
      <c r="B42" s="58"/>
      <c r="C42" s="58">
        <v>0.2</v>
      </c>
      <c r="D42" s="58" t="e">
        <f>((NPV(C42,$H$15:$R$15)+(#REF!*(1+#REF!)/(C42-#REF!))/(1+C42)^(2040-2020))/$D$48)/$C$49-1</f>
        <v>#REF!</v>
      </c>
      <c r="E42" s="39"/>
      <c r="F42" s="39"/>
      <c r="G42" s="39"/>
      <c r="H42" s="39"/>
      <c r="I42" s="39"/>
      <c r="J42" s="40"/>
    </row>
    <row r="43" spans="1:10" x14ac:dyDescent="0.25">
      <c r="A43" s="38"/>
      <c r="B43" s="39"/>
      <c r="C43" s="39"/>
      <c r="D43" s="39"/>
      <c r="E43" s="39"/>
      <c r="F43" s="39" t="s">
        <v>30</v>
      </c>
      <c r="G43" s="39"/>
      <c r="H43" s="39"/>
      <c r="I43" s="39"/>
      <c r="J43" s="40"/>
    </row>
    <row r="44" spans="1:10" ht="16.5" thickBot="1" x14ac:dyDescent="0.3">
      <c r="A44" s="42"/>
      <c r="B44" s="43" t="s">
        <v>15</v>
      </c>
      <c r="C44" s="43"/>
      <c r="D44" s="59">
        <f>D28+D32</f>
        <v>9.5000000000000001E-2</v>
      </c>
      <c r="E44" s="43"/>
      <c r="F44" s="43"/>
      <c r="G44" s="43"/>
      <c r="H44" s="43"/>
      <c r="I44" s="43"/>
      <c r="J44" s="44"/>
    </row>
    <row r="46" spans="1:10" x14ac:dyDescent="0.25">
      <c r="A46" s="28"/>
      <c r="B46" s="29"/>
      <c r="C46" s="30">
        <v>44421</v>
      </c>
      <c r="D46" s="31" t="s">
        <v>3</v>
      </c>
      <c r="E46" s="32"/>
      <c r="F46" s="33" t="s">
        <v>12</v>
      </c>
      <c r="G46" s="34"/>
      <c r="H46" s="34" t="s">
        <v>13</v>
      </c>
      <c r="I46" s="34"/>
    </row>
    <row r="47" spans="1:10" x14ac:dyDescent="0.25">
      <c r="A47" s="60" t="s">
        <v>0</v>
      </c>
      <c r="B47" s="61" t="s">
        <v>33</v>
      </c>
      <c r="C47" s="62">
        <f>C48*C49</f>
        <v>11386.550292</v>
      </c>
      <c r="D47" s="63">
        <f>SUM(H19:R19)</f>
        <v>10862.694662789288</v>
      </c>
      <c r="E47" s="61" t="s">
        <v>24</v>
      </c>
    </row>
    <row r="48" spans="1:10" x14ac:dyDescent="0.25">
      <c r="A48" s="60"/>
      <c r="B48" s="61" t="s">
        <v>17</v>
      </c>
      <c r="C48" s="76">
        <v>1.713036</v>
      </c>
      <c r="D48" s="76">
        <f>C48*(1)</f>
        <v>1.713036</v>
      </c>
      <c r="E48" s="61"/>
    </row>
    <row r="49" spans="1:8" x14ac:dyDescent="0.25">
      <c r="A49" s="60"/>
      <c r="B49" s="61" t="s">
        <v>19</v>
      </c>
      <c r="C49" s="64">
        <v>6647</v>
      </c>
      <c r="D49" s="64">
        <f>D47/(D48)</f>
        <v>6341.1946175032444</v>
      </c>
      <c r="E49" s="61" t="s">
        <v>24</v>
      </c>
      <c r="F49" s="12"/>
      <c r="G49" s="12"/>
      <c r="H49" s="12"/>
    </row>
    <row r="50" spans="1:8" x14ac:dyDescent="0.25">
      <c r="A50" s="60"/>
      <c r="B50" s="61" t="s">
        <v>2</v>
      </c>
      <c r="C50" s="61"/>
      <c r="D50" s="65">
        <f>D49/C49-1</f>
        <v>-4.6006526628066147E-2</v>
      </c>
      <c r="E50" s="61"/>
      <c r="F50" s="5"/>
    </row>
    <row r="51" spans="1:8" x14ac:dyDescent="0.25">
      <c r="A51" s="60"/>
      <c r="B51" s="61"/>
      <c r="C51" s="61"/>
      <c r="D51" s="66"/>
      <c r="E51" s="61"/>
      <c r="F51" s="5"/>
    </row>
    <row r="52" spans="1:8" x14ac:dyDescent="0.25">
      <c r="A52" s="61"/>
      <c r="B52" s="61"/>
      <c r="C52" s="61"/>
      <c r="D52" s="66"/>
      <c r="E52" s="66"/>
    </row>
    <row r="53" spans="1:8" x14ac:dyDescent="0.25">
      <c r="A53" s="66" t="s">
        <v>4</v>
      </c>
      <c r="B53" s="61"/>
      <c r="C53" s="68">
        <f>D44</f>
        <v>9.5000000000000001E-2</v>
      </c>
      <c r="D53" s="67"/>
      <c r="E53" s="61"/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D50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C30">
    <cfRule type="colorScale" priority="1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8:D42">
    <cfRule type="colorScale" priority="7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topLeftCell="A15" zoomScale="80" zoomScaleNormal="80" workbookViewId="0">
      <selection activeCell="C50" sqref="C5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6" width="10.625" style="1"/>
    <col min="17" max="18" width="10.625" style="1" customWidth="1"/>
    <col min="19" max="16384" width="10.625" style="1"/>
  </cols>
  <sheetData>
    <row r="2" spans="1:28" ht="26.25" x14ac:dyDescent="0.4">
      <c r="B2" s="45" t="s">
        <v>16</v>
      </c>
    </row>
    <row r="4" spans="1:28" x14ac:dyDescent="0.25">
      <c r="B4" s="35" t="s">
        <v>31</v>
      </c>
    </row>
    <row r="6" spans="1:28" x14ac:dyDescent="0.25">
      <c r="B6" s="1" t="s">
        <v>32</v>
      </c>
    </row>
    <row r="9" spans="1:28" s="11" customFormat="1" x14ac:dyDescent="0.25">
      <c r="H9" s="13" t="s">
        <v>14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7"/>
      <c r="B10" s="7"/>
      <c r="C10" s="15">
        <v>2017</v>
      </c>
      <c r="D10" s="15">
        <v>2018</v>
      </c>
      <c r="E10" s="15">
        <v>2019</v>
      </c>
      <c r="F10" s="15">
        <v>2020</v>
      </c>
      <c r="G10" s="15">
        <v>2021</v>
      </c>
      <c r="H10" s="74">
        <v>2022</v>
      </c>
      <c r="I10" s="74">
        <v>2023</v>
      </c>
      <c r="J10" s="74">
        <v>2024</v>
      </c>
      <c r="K10" s="74">
        <v>2025</v>
      </c>
      <c r="L10" s="74">
        <v>2026</v>
      </c>
      <c r="M10" s="74">
        <v>2027</v>
      </c>
      <c r="N10" s="74">
        <v>2028</v>
      </c>
      <c r="O10" s="74">
        <v>2029</v>
      </c>
      <c r="P10" s="74">
        <v>2030</v>
      </c>
      <c r="Q10" s="74">
        <v>2031</v>
      </c>
      <c r="R10" s="73" t="s">
        <v>22</v>
      </c>
    </row>
    <row r="11" spans="1:28" x14ac:dyDescent="0.25">
      <c r="A11" s="8"/>
      <c r="B11" s="7" t="s">
        <v>5</v>
      </c>
      <c r="C11" s="16">
        <v>8901</v>
      </c>
      <c r="D11" s="16">
        <v>9158.77</v>
      </c>
      <c r="E11" s="16">
        <v>9602.2360000000008</v>
      </c>
      <c r="F11" s="16">
        <v>6185.09</v>
      </c>
      <c r="G11" s="16">
        <v>5628.17</v>
      </c>
      <c r="H11" s="20">
        <v>5901.5150000000003</v>
      </c>
      <c r="I11" s="20">
        <v>6159.0060000000003</v>
      </c>
      <c r="J11" s="20">
        <v>6440.98</v>
      </c>
      <c r="K11" s="20">
        <f t="shared" ref="K11:L11" si="0">J11*(1+K12)</f>
        <v>6666.4142999999995</v>
      </c>
      <c r="L11" s="20">
        <f t="shared" si="0"/>
        <v>6899.7388004999993</v>
      </c>
      <c r="M11" s="20">
        <f>L11*(1+M12)</f>
        <v>7141.229658517499</v>
      </c>
      <c r="N11" s="20">
        <f t="shared" ref="N11:R11" si="1">M11*(1+N12)</f>
        <v>7391.1726965656107</v>
      </c>
      <c r="O11" s="20">
        <f t="shared" si="1"/>
        <v>7649.8637409454068</v>
      </c>
      <c r="P11" s="20">
        <f t="shared" si="1"/>
        <v>7879.3596531737694</v>
      </c>
      <c r="Q11" s="20">
        <f t="shared" si="1"/>
        <v>8115.7404427689826</v>
      </c>
      <c r="R11" s="20">
        <f t="shared" si="1"/>
        <v>8278.0552516243624</v>
      </c>
    </row>
    <row r="12" spans="1:28" x14ac:dyDescent="0.25">
      <c r="A12" s="8"/>
      <c r="B12" s="7" t="s">
        <v>1</v>
      </c>
      <c r="C12" s="17"/>
      <c r="D12" s="17">
        <f>D11/C11-1</f>
        <v>2.8959667453095195E-2</v>
      </c>
      <c r="E12" s="17">
        <f>E11/D11-1</f>
        <v>4.8419820565425375E-2</v>
      </c>
      <c r="F12" s="17">
        <f>F11/E11-1</f>
        <v>-0.35586982032101688</v>
      </c>
      <c r="G12" s="17">
        <f>G11/F11-1</f>
        <v>-9.0042343765410093E-2</v>
      </c>
      <c r="H12" s="75">
        <f t="shared" ref="H12:J12" si="2">H11/G11-1</f>
        <v>4.8567296297020279E-2</v>
      </c>
      <c r="I12" s="75">
        <f t="shared" si="2"/>
        <v>4.3631338732511793E-2</v>
      </c>
      <c r="J12" s="75">
        <f t="shared" si="2"/>
        <v>4.5782387612546493E-2</v>
      </c>
      <c r="K12" s="22">
        <v>3.5000000000000003E-2</v>
      </c>
      <c r="L12" s="22">
        <v>3.5000000000000003E-2</v>
      </c>
      <c r="M12" s="22">
        <v>3.5000000000000003E-2</v>
      </c>
      <c r="N12" s="22">
        <v>3.5000000000000003E-2</v>
      </c>
      <c r="O12" s="22">
        <v>3.5000000000000003E-2</v>
      </c>
      <c r="P12" s="22">
        <v>0.03</v>
      </c>
      <c r="Q12" s="22">
        <v>0.03</v>
      </c>
      <c r="R12" s="22">
        <v>0.02</v>
      </c>
    </row>
    <row r="13" spans="1:28" ht="15.95" customHeight="1" x14ac:dyDescent="0.25">
      <c r="A13" s="8"/>
      <c r="B13" s="7" t="s">
        <v>21</v>
      </c>
      <c r="C13" s="17">
        <f>C14/C11</f>
        <v>8.0050106729580947E-2</v>
      </c>
      <c r="D13" s="17">
        <f t="shared" ref="D13:G13" si="3">D14/D11</f>
        <v>4.1995813848366099E-2</v>
      </c>
      <c r="E13" s="17">
        <f t="shared" si="3"/>
        <v>0.17523762173727034</v>
      </c>
      <c r="F13" s="17">
        <f t="shared" si="3"/>
        <v>8.0901005482539451E-3</v>
      </c>
      <c r="G13" s="17">
        <f t="shared" si="3"/>
        <v>1.0075132769621387</v>
      </c>
      <c r="H13" s="21">
        <f>H14/H11</f>
        <v>0.41012265494538264</v>
      </c>
      <c r="I13" s="21">
        <f t="shared" ref="I13:J13" si="4">I14/I11</f>
        <v>0.29448453208196257</v>
      </c>
      <c r="J13" s="21">
        <f t="shared" si="4"/>
        <v>0.33421715329033785</v>
      </c>
      <c r="K13" s="21">
        <v>0.2</v>
      </c>
      <c r="L13" s="21">
        <v>0.2</v>
      </c>
      <c r="M13" s="21">
        <v>0.2</v>
      </c>
      <c r="N13" s="21">
        <v>0.2</v>
      </c>
      <c r="O13" s="21">
        <v>0.2</v>
      </c>
      <c r="P13" s="21">
        <v>0.2</v>
      </c>
      <c r="Q13" s="21">
        <v>0.2</v>
      </c>
      <c r="R13" s="21">
        <v>0.2</v>
      </c>
    </row>
    <row r="14" spans="1:28" ht="17.100000000000001" customHeight="1" x14ac:dyDescent="0.25">
      <c r="A14" s="8"/>
      <c r="B14" s="7" t="s">
        <v>20</v>
      </c>
      <c r="C14" s="16">
        <v>712.52599999999995</v>
      </c>
      <c r="D14" s="16">
        <v>384.63</v>
      </c>
      <c r="E14" s="16">
        <v>1682.673</v>
      </c>
      <c r="F14" s="16">
        <v>50.037999999999997</v>
      </c>
      <c r="G14" s="16">
        <v>5670.4560000000001</v>
      </c>
      <c r="H14" s="20">
        <v>2420.3449999999998</v>
      </c>
      <c r="I14" s="20">
        <v>1813.732</v>
      </c>
      <c r="J14" s="20">
        <v>2152.6860000000001</v>
      </c>
      <c r="K14" s="20">
        <f>K11*K13</f>
        <v>1333.28286</v>
      </c>
      <c r="L14" s="20">
        <f t="shared" ref="L14:R14" si="5">L11*L13</f>
        <v>1379.9477600999999</v>
      </c>
      <c r="M14" s="20">
        <f t="shared" si="5"/>
        <v>1428.2459317035</v>
      </c>
      <c r="N14" s="20">
        <f t="shared" si="5"/>
        <v>1478.2345393131222</v>
      </c>
      <c r="O14" s="20">
        <f>O11*O13</f>
        <v>1529.9727481890814</v>
      </c>
      <c r="P14" s="20">
        <f t="shared" si="5"/>
        <v>1575.8719306347539</v>
      </c>
      <c r="Q14" s="20">
        <f t="shared" si="5"/>
        <v>1623.1480885537967</v>
      </c>
      <c r="R14" s="20">
        <f t="shared" si="5"/>
        <v>1655.6110503248726</v>
      </c>
    </row>
    <row r="15" spans="1:28" ht="16.5" thickBot="1" x14ac:dyDescent="0.3">
      <c r="A15" s="19">
        <v>0.2</v>
      </c>
      <c r="B15" s="7" t="s">
        <v>23</v>
      </c>
      <c r="C15" s="18">
        <v>1474.43</v>
      </c>
      <c r="D15" s="16">
        <v>1237.8119999999999</v>
      </c>
      <c r="E15" s="16">
        <v>1454.6179999999999</v>
      </c>
      <c r="F15" s="16">
        <v>-800.76</v>
      </c>
      <c r="G15" s="16">
        <v>5078.2299999999996</v>
      </c>
      <c r="H15" s="20">
        <v>1037</v>
      </c>
      <c r="I15" s="20">
        <v>1093</v>
      </c>
      <c r="J15" s="20">
        <v>1405</v>
      </c>
      <c r="K15" s="20">
        <f t="shared" ref="K15:Q15" si="6">K14*(1-$A$15)</f>
        <v>1066.6262880000002</v>
      </c>
      <c r="L15" s="20">
        <f t="shared" si="6"/>
        <v>1103.9582080799998</v>
      </c>
      <c r="M15" s="20">
        <f t="shared" si="6"/>
        <v>1142.5967453628</v>
      </c>
      <c r="N15" s="20">
        <f t="shared" si="6"/>
        <v>1182.5876314504978</v>
      </c>
      <c r="O15" s="20">
        <f t="shared" si="6"/>
        <v>1223.9781985512652</v>
      </c>
      <c r="P15" s="20">
        <f t="shared" si="6"/>
        <v>1260.6975445078033</v>
      </c>
      <c r="Q15" s="20">
        <f t="shared" si="6"/>
        <v>1298.5184708430374</v>
      </c>
      <c r="R15" s="20">
        <f>R14*(1-$A$15)</f>
        <v>1324.4888402598981</v>
      </c>
    </row>
    <row r="16" spans="1:28" ht="32.25" thickBot="1" x14ac:dyDescent="0.3">
      <c r="A16" s="23" t="s">
        <v>6</v>
      </c>
      <c r="B16" s="24"/>
      <c r="C16" s="25"/>
      <c r="D16" s="25"/>
      <c r="E16" s="26">
        <f>E15/E14</f>
        <v>0.86446861630275162</v>
      </c>
      <c r="F16" s="26">
        <f>F15/F14</f>
        <v>-16.003037691354571</v>
      </c>
      <c r="G16" s="27">
        <f>G15/G14</f>
        <v>0.89555936947575288</v>
      </c>
    </row>
    <row r="17" spans="1:18" x14ac:dyDescent="0.25">
      <c r="A17" s="3"/>
      <c r="G17" s="9"/>
      <c r="H17" s="9"/>
      <c r="I17" s="9"/>
      <c r="J17" s="9"/>
      <c r="K17" s="9"/>
      <c r="L17" s="9"/>
      <c r="M17" s="9"/>
      <c r="N17" s="9"/>
      <c r="O17" s="9"/>
      <c r="P17" s="4"/>
      <c r="Q17" s="4"/>
      <c r="R17" s="4"/>
    </row>
    <row r="18" spans="1:18" ht="16.5" thickBot="1" x14ac:dyDescent="0.3">
      <c r="A18" s="3"/>
      <c r="G18" s="9"/>
      <c r="I18" s="9"/>
      <c r="J18" s="9"/>
      <c r="K18" s="9"/>
      <c r="L18" s="9"/>
      <c r="M18" s="9"/>
      <c r="N18" s="9"/>
      <c r="O18" s="9"/>
      <c r="P18" s="4"/>
      <c r="Q18" s="4"/>
      <c r="R18" s="4"/>
    </row>
    <row r="19" spans="1:18" ht="16.5" thickBot="1" x14ac:dyDescent="0.3">
      <c r="A19" s="3"/>
      <c r="F19" s="69" t="s">
        <v>18</v>
      </c>
      <c r="G19" s="70"/>
      <c r="H19" s="71">
        <f>H15/(1+$C$53)</f>
        <v>947.03196347031962</v>
      </c>
      <c r="I19" s="71">
        <f>I15/(1+$C$53)^2</f>
        <v>911.57398719793161</v>
      </c>
      <c r="J19" s="71">
        <f>J15/(1+$C$53)^3</f>
        <v>1070.1236611672402</v>
      </c>
      <c r="K19" s="71">
        <f>K15/(1+$C$53)^4</f>
        <v>741.91782668667565</v>
      </c>
      <c r="L19" s="71">
        <f>L15/(1+$C$53)^5</f>
        <v>701.26479508740556</v>
      </c>
      <c r="M19" s="71">
        <f>M15/(1+$C$53)^6</f>
        <v>662.83932686343826</v>
      </c>
      <c r="N19" s="71">
        <f>N15/(1+$C$53)^7</f>
        <v>626.51936374763341</v>
      </c>
      <c r="O19" s="71">
        <f>O15/(1+$C$53)^8</f>
        <v>592.18953559707802</v>
      </c>
      <c r="P19" s="71">
        <f>P15/(1+$C$53)^9</f>
        <v>557.0367321141465</v>
      </c>
      <c r="Q19" s="71">
        <f>Q15/(1+$C$53)^10</f>
        <v>523.97062472837524</v>
      </c>
      <c r="R19" s="72">
        <f>(R15/(C53-R12))/(1+C53)^10</f>
        <v>7126.0004963059037</v>
      </c>
    </row>
    <row r="20" spans="1:18" x14ac:dyDescent="0.25">
      <c r="A20" s="3"/>
      <c r="C20" s="1" t="s">
        <v>35</v>
      </c>
      <c r="G20" s="9"/>
      <c r="H20" s="10"/>
      <c r="I20" s="9"/>
      <c r="J20" s="9"/>
      <c r="K20" s="9"/>
      <c r="L20" s="9"/>
      <c r="M20" s="9"/>
      <c r="N20" s="9"/>
      <c r="O20" s="9"/>
      <c r="P20" s="4"/>
      <c r="Q20" s="4"/>
      <c r="R20" s="4"/>
    </row>
    <row r="21" spans="1:18" x14ac:dyDescent="0.25">
      <c r="A21" s="3"/>
      <c r="P21" s="4"/>
      <c r="Q21" s="4"/>
      <c r="R21" s="4"/>
    </row>
    <row r="22" spans="1:18" ht="16.5" thickBot="1" x14ac:dyDescent="0.3">
      <c r="P22" s="4"/>
      <c r="Q22" s="4"/>
      <c r="R22" s="4"/>
    </row>
    <row r="23" spans="1:18" x14ac:dyDescent="0.25">
      <c r="A23" s="46" t="s">
        <v>7</v>
      </c>
      <c r="B23" s="47"/>
      <c r="C23" s="47"/>
      <c r="D23" s="48"/>
      <c r="E23" s="36"/>
      <c r="F23" s="47"/>
      <c r="G23" s="36"/>
      <c r="H23" s="36"/>
      <c r="I23" s="36"/>
      <c r="J23" s="37"/>
    </row>
    <row r="24" spans="1:18" x14ac:dyDescent="0.25">
      <c r="A24" s="49"/>
      <c r="B24" s="50"/>
      <c r="C24" s="50"/>
      <c r="D24" s="51"/>
      <c r="E24" s="50"/>
      <c r="F24" s="50"/>
      <c r="G24" s="39"/>
      <c r="H24" s="39"/>
      <c r="I24" s="39"/>
      <c r="J24" s="40"/>
    </row>
    <row r="25" spans="1:18" x14ac:dyDescent="0.25">
      <c r="A25" s="49" t="s">
        <v>8</v>
      </c>
      <c r="B25" s="50" t="s">
        <v>25</v>
      </c>
      <c r="C25" s="50"/>
      <c r="D25" s="52">
        <v>8.5000000000000006E-2</v>
      </c>
      <c r="E25" s="39"/>
      <c r="F25" s="50" t="s">
        <v>27</v>
      </c>
      <c r="G25" s="39"/>
      <c r="H25" s="39"/>
      <c r="I25" s="39"/>
      <c r="J25" s="40"/>
    </row>
    <row r="26" spans="1:18" x14ac:dyDescent="0.25">
      <c r="A26" s="49"/>
      <c r="B26" s="50"/>
      <c r="C26" s="50"/>
      <c r="D26" s="52"/>
      <c r="E26" s="39"/>
      <c r="F26" s="50" t="s">
        <v>28</v>
      </c>
      <c r="G26" s="39"/>
      <c r="H26" s="39"/>
      <c r="I26" s="39"/>
      <c r="J26" s="40"/>
      <c r="M26" s="39"/>
      <c r="N26" s="39"/>
      <c r="O26" s="39"/>
    </row>
    <row r="27" spans="1:18" x14ac:dyDescent="0.25">
      <c r="A27" s="49"/>
      <c r="B27" s="50"/>
      <c r="C27" s="50"/>
      <c r="D27" s="53"/>
      <c r="E27" s="39"/>
      <c r="F27" s="50"/>
      <c r="G27" s="39"/>
      <c r="H27" s="39"/>
      <c r="I27" s="39"/>
      <c r="J27" s="40"/>
      <c r="M27" s="39"/>
      <c r="N27" s="39"/>
      <c r="O27" s="39"/>
    </row>
    <row r="28" spans="1:18" x14ac:dyDescent="0.25">
      <c r="A28" s="49"/>
      <c r="B28" s="50" t="s">
        <v>9</v>
      </c>
      <c r="C28" s="50"/>
      <c r="D28" s="54">
        <v>8.5000000000000006E-2</v>
      </c>
      <c r="E28" s="39"/>
      <c r="F28" s="50"/>
      <c r="G28" s="39"/>
      <c r="H28" s="39"/>
      <c r="I28" s="39"/>
      <c r="J28" s="40"/>
      <c r="M28" s="39"/>
      <c r="N28" s="39"/>
      <c r="O28" s="39"/>
      <c r="R28" s="6"/>
    </row>
    <row r="29" spans="1:18" x14ac:dyDescent="0.25">
      <c r="A29" s="49"/>
      <c r="B29" s="50"/>
      <c r="C29" s="50"/>
      <c r="D29" s="51"/>
      <c r="E29" s="39"/>
      <c r="F29" s="50"/>
      <c r="G29" s="39"/>
      <c r="H29" s="39"/>
      <c r="I29" s="39"/>
      <c r="J29" s="40"/>
      <c r="M29" s="39"/>
      <c r="N29" s="41"/>
      <c r="O29" s="39"/>
      <c r="R29" s="6"/>
    </row>
    <row r="30" spans="1:18" x14ac:dyDescent="0.25">
      <c r="A30" s="38"/>
      <c r="B30" s="39"/>
      <c r="C30" s="55"/>
      <c r="D30" s="39"/>
      <c r="E30" s="50"/>
      <c r="F30" s="50"/>
      <c r="G30" s="39"/>
      <c r="H30" s="39"/>
      <c r="I30" s="39"/>
      <c r="J30" s="40"/>
      <c r="M30" s="39"/>
      <c r="N30" s="39"/>
      <c r="O30" s="39"/>
      <c r="P30" s="2"/>
      <c r="Q30" s="2"/>
      <c r="R30" s="2"/>
    </row>
    <row r="31" spans="1:18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40"/>
      <c r="M31" s="39"/>
      <c r="N31" s="39"/>
      <c r="O31" s="39"/>
    </row>
    <row r="32" spans="1:18" x14ac:dyDescent="0.25">
      <c r="A32" s="49" t="s">
        <v>10</v>
      </c>
      <c r="B32" s="50" t="s">
        <v>26</v>
      </c>
      <c r="C32" s="56"/>
      <c r="D32" s="41">
        <v>0.01</v>
      </c>
      <c r="E32" s="39"/>
      <c r="F32" s="39" t="s">
        <v>29</v>
      </c>
      <c r="G32" s="39"/>
      <c r="H32" s="39"/>
      <c r="I32" s="39"/>
      <c r="J32" s="40"/>
    </row>
    <row r="33" spans="1:10" ht="15.75" hidden="1" customHeight="1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40"/>
    </row>
    <row r="34" spans="1:10" ht="15.75" hidden="1" customHeight="1" x14ac:dyDescent="0.25">
      <c r="A34" s="38"/>
      <c r="B34" s="39" t="s">
        <v>11</v>
      </c>
      <c r="C34" s="39"/>
      <c r="D34" s="57">
        <v>0.08</v>
      </c>
      <c r="E34" s="39"/>
      <c r="F34" s="39"/>
      <c r="G34" s="39"/>
      <c r="H34" s="39"/>
      <c r="I34" s="39"/>
      <c r="J34" s="40"/>
    </row>
    <row r="35" spans="1:10" ht="15.75" hidden="1" customHeight="1" x14ac:dyDescent="0.25">
      <c r="A35" s="38"/>
      <c r="B35" s="39"/>
      <c r="C35" s="39"/>
      <c r="D35" s="39"/>
      <c r="E35" s="39"/>
      <c r="F35" s="39"/>
      <c r="G35" s="39"/>
      <c r="H35" s="39"/>
      <c r="I35" s="39"/>
      <c r="J35" s="40"/>
    </row>
    <row r="36" spans="1:10" ht="15.75" hidden="1" customHeight="1" x14ac:dyDescent="0.25">
      <c r="A36" s="38"/>
      <c r="B36" s="39"/>
      <c r="C36" s="39"/>
      <c r="D36" s="39"/>
      <c r="E36" s="39"/>
      <c r="F36" s="39"/>
      <c r="G36" s="39"/>
      <c r="H36" s="39"/>
      <c r="I36" s="39"/>
      <c r="J36" s="40"/>
    </row>
    <row r="37" spans="1:10" ht="15.75" hidden="1" customHeight="1" x14ac:dyDescent="0.25">
      <c r="A37" s="38"/>
      <c r="B37" s="39"/>
      <c r="C37" s="39"/>
      <c r="D37" s="39"/>
      <c r="E37" s="39"/>
      <c r="F37" s="39"/>
      <c r="G37" s="39"/>
      <c r="H37" s="39"/>
      <c r="I37" s="39"/>
      <c r="J37" s="40"/>
    </row>
    <row r="38" spans="1:10" hidden="1" x14ac:dyDescent="0.25">
      <c r="A38" s="38"/>
      <c r="B38" s="58"/>
      <c r="C38" s="58">
        <v>0.12</v>
      </c>
      <c r="D38" s="58" t="e">
        <f>((NPV(C38,$H$15:$R$15)+(#REF!*(1+#REF!)/(C38-#REF!))/(1+C38)^(2040-2020))/$D$48)/$C$49-1</f>
        <v>#REF!</v>
      </c>
      <c r="E38" s="39"/>
      <c r="F38" s="39"/>
      <c r="G38" s="39"/>
      <c r="H38" s="39"/>
      <c r="I38" s="39"/>
      <c r="J38" s="40"/>
    </row>
    <row r="39" spans="1:10" hidden="1" x14ac:dyDescent="0.25">
      <c r="A39" s="38"/>
      <c r="B39" s="58"/>
      <c r="C39" s="58">
        <v>0.14000000000000001</v>
      </c>
      <c r="D39" s="58" t="e">
        <f>((NPV(C39,$H$15:$R$15)+(#REF!*(1+#REF!)/(C39-#REF!))/(1+C39)^(2040-2020))/$D$48)/$C$49-1</f>
        <v>#REF!</v>
      </c>
      <c r="E39" s="39"/>
      <c r="F39" s="39"/>
      <c r="G39" s="39"/>
      <c r="H39" s="39"/>
      <c r="I39" s="39"/>
      <c r="J39" s="40"/>
    </row>
    <row r="40" spans="1:10" hidden="1" x14ac:dyDescent="0.25">
      <c r="A40" s="38"/>
      <c r="B40" s="58"/>
      <c r="C40" s="58">
        <v>0.16</v>
      </c>
      <c r="D40" s="58" t="e">
        <f>((NPV(C40,$H$15:$R$15)+(#REF!*(1+#REF!)/(C40-#REF!))/(1+C40)^(2040-2020))/$D$48)/$C$49-1</f>
        <v>#REF!</v>
      </c>
      <c r="E40" s="39"/>
      <c r="F40" s="39"/>
      <c r="G40" s="39"/>
      <c r="H40" s="39"/>
      <c r="I40" s="39"/>
      <c r="J40" s="40"/>
    </row>
    <row r="41" spans="1:10" hidden="1" x14ac:dyDescent="0.25">
      <c r="A41" s="38"/>
      <c r="B41" s="58"/>
      <c r="C41" s="58">
        <v>0.18</v>
      </c>
      <c r="D41" s="58" t="e">
        <f>((NPV(C41,$H$15:$R$15)+(#REF!*(1+#REF!)/(C41-#REF!))/(1+C41)^(2040-2020))/$D$48)/$C$49-1</f>
        <v>#REF!</v>
      </c>
      <c r="E41" s="39"/>
      <c r="F41" s="39"/>
      <c r="G41" s="39"/>
      <c r="H41" s="39"/>
      <c r="I41" s="39"/>
      <c r="J41" s="40"/>
    </row>
    <row r="42" spans="1:10" hidden="1" x14ac:dyDescent="0.25">
      <c r="A42" s="38"/>
      <c r="B42" s="58"/>
      <c r="C42" s="58">
        <v>0.2</v>
      </c>
      <c r="D42" s="58" t="e">
        <f>((NPV(C42,$H$15:$R$15)+(#REF!*(1+#REF!)/(C42-#REF!))/(1+C42)^(2040-2020))/$D$48)/$C$49-1</f>
        <v>#REF!</v>
      </c>
      <c r="E42" s="39"/>
      <c r="F42" s="39"/>
      <c r="G42" s="39"/>
      <c r="H42" s="39"/>
      <c r="I42" s="39"/>
      <c r="J42" s="40"/>
    </row>
    <row r="43" spans="1:10" x14ac:dyDescent="0.25">
      <c r="A43" s="38"/>
      <c r="B43" s="39"/>
      <c r="C43" s="39"/>
      <c r="D43" s="39"/>
      <c r="E43" s="39"/>
      <c r="F43" s="39" t="s">
        <v>30</v>
      </c>
      <c r="G43" s="39"/>
      <c r="H43" s="39"/>
      <c r="I43" s="39"/>
      <c r="J43" s="40"/>
    </row>
    <row r="44" spans="1:10" ht="16.5" thickBot="1" x14ac:dyDescent="0.3">
      <c r="A44" s="42"/>
      <c r="B44" s="43" t="s">
        <v>15</v>
      </c>
      <c r="C44" s="43"/>
      <c r="D44" s="59">
        <f>D28+D32</f>
        <v>9.5000000000000001E-2</v>
      </c>
      <c r="E44" s="43"/>
      <c r="F44" s="43"/>
      <c r="G44" s="43"/>
      <c r="H44" s="43"/>
      <c r="I44" s="43"/>
      <c r="J44" s="44"/>
    </row>
    <row r="46" spans="1:10" x14ac:dyDescent="0.25">
      <c r="A46" s="28"/>
      <c r="B46" s="29"/>
      <c r="C46" s="30">
        <v>44421</v>
      </c>
      <c r="D46" s="31" t="s">
        <v>3</v>
      </c>
      <c r="E46" s="32"/>
      <c r="F46" s="33" t="s">
        <v>12</v>
      </c>
      <c r="G46" s="34"/>
      <c r="H46" s="34" t="s">
        <v>13</v>
      </c>
      <c r="I46" s="34"/>
    </row>
    <row r="47" spans="1:10" x14ac:dyDescent="0.25">
      <c r="A47" s="60" t="s">
        <v>0</v>
      </c>
      <c r="B47" s="61" t="s">
        <v>33</v>
      </c>
      <c r="C47" s="62">
        <f>C48*C49</f>
        <v>11386.550292</v>
      </c>
      <c r="D47" s="63">
        <f>SUM(H19:R19)</f>
        <v>14460.468312966148</v>
      </c>
      <c r="E47" s="61" t="s">
        <v>24</v>
      </c>
    </row>
    <row r="48" spans="1:10" x14ac:dyDescent="0.25">
      <c r="A48" s="60"/>
      <c r="B48" s="61" t="s">
        <v>34</v>
      </c>
      <c r="C48" s="76">
        <v>1.713036</v>
      </c>
      <c r="D48" s="76">
        <f>C48*(1)</f>
        <v>1.713036</v>
      </c>
      <c r="E48" s="61"/>
    </row>
    <row r="49" spans="1:8" x14ac:dyDescent="0.25">
      <c r="A49" s="60"/>
      <c r="B49" s="61" t="s">
        <v>19</v>
      </c>
      <c r="C49" s="64">
        <v>6647</v>
      </c>
      <c r="D49" s="64">
        <f>D47/(D48)</f>
        <v>8441.426982834073</v>
      </c>
      <c r="E49" s="61" t="s">
        <v>24</v>
      </c>
      <c r="F49" s="12"/>
      <c r="G49" s="12"/>
      <c r="H49" s="12"/>
    </row>
    <row r="50" spans="1:8" x14ac:dyDescent="0.25">
      <c r="A50" s="60"/>
      <c r="B50" s="61" t="s">
        <v>2</v>
      </c>
      <c r="C50" s="61"/>
      <c r="D50" s="65">
        <f>D49/C49-1</f>
        <v>0.26996043069566311</v>
      </c>
      <c r="E50" s="61"/>
      <c r="F50" s="5"/>
    </row>
    <row r="51" spans="1:8" x14ac:dyDescent="0.25">
      <c r="A51" s="60"/>
      <c r="B51" s="61"/>
      <c r="C51" s="61"/>
      <c r="D51" s="66"/>
      <c r="E51" s="61"/>
      <c r="F51" s="5"/>
    </row>
    <row r="52" spans="1:8" x14ac:dyDescent="0.25">
      <c r="A52" s="61"/>
      <c r="B52" s="61"/>
      <c r="C52" s="61"/>
      <c r="D52" s="66"/>
      <c r="E52" s="66"/>
    </row>
    <row r="53" spans="1:8" x14ac:dyDescent="0.25">
      <c r="A53" s="66" t="s">
        <v>4</v>
      </c>
      <c r="B53" s="61"/>
      <c r="C53" s="68">
        <f>D44</f>
        <v>9.5000000000000001E-2</v>
      </c>
      <c r="D53" s="67"/>
      <c r="E53" s="61"/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D50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C30">
    <cfRule type="colorScale" priority="1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8:D42">
    <cfRule type="colorScale" priority="7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2021-08-14T06:51:41Z</dcterms:modified>
</cp:coreProperties>
</file>