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hris_grca1ny\Desktop\CS-Research\Aktienanalysen\Allianz\"/>
    </mc:Choice>
  </mc:AlternateContent>
  <bookViews>
    <workbookView xWindow="0" yWindow="0" windowWidth="12195" windowHeight="3180"/>
  </bookViews>
  <sheets>
    <sheet name="Optimistisch" sheetId="7" r:id="rId1"/>
    <sheet name="Pessimistisch" sheetId="8" r:id="rId2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8" l="1"/>
  <c r="C53" i="8"/>
  <c r="H11" i="8"/>
  <c r="H14" i="8"/>
  <c r="H15" i="8"/>
  <c r="H19" i="8"/>
  <c r="I11" i="8"/>
  <c r="I14" i="8"/>
  <c r="I15" i="8"/>
  <c r="I19" i="8"/>
  <c r="J11" i="8"/>
  <c r="J14" i="8"/>
  <c r="J15" i="8"/>
  <c r="J19" i="8"/>
  <c r="K11" i="8"/>
  <c r="K14" i="8"/>
  <c r="K15" i="8"/>
  <c r="K19" i="8"/>
  <c r="L11" i="8"/>
  <c r="L14" i="8"/>
  <c r="L15" i="8"/>
  <c r="L19" i="8"/>
  <c r="M11" i="8"/>
  <c r="M14" i="8"/>
  <c r="M15" i="8"/>
  <c r="M19" i="8"/>
  <c r="N11" i="8"/>
  <c r="N14" i="8"/>
  <c r="N15" i="8"/>
  <c r="N19" i="8"/>
  <c r="O11" i="8"/>
  <c r="O14" i="8"/>
  <c r="O15" i="8"/>
  <c r="O19" i="8"/>
  <c r="P11" i="8"/>
  <c r="P14" i="8"/>
  <c r="P15" i="8"/>
  <c r="P19" i="8"/>
  <c r="Q11" i="8"/>
  <c r="Q14" i="8"/>
  <c r="Q15" i="8"/>
  <c r="Q19" i="8"/>
  <c r="R11" i="8"/>
  <c r="R14" i="8"/>
  <c r="R15" i="8"/>
  <c r="R19" i="8"/>
  <c r="D47" i="8"/>
  <c r="D48" i="8"/>
  <c r="D49" i="8"/>
  <c r="D50" i="8"/>
  <c r="C47" i="8"/>
  <c r="D42" i="8"/>
  <c r="D41" i="8"/>
  <c r="D40" i="8"/>
  <c r="D39" i="8"/>
  <c r="D38" i="8"/>
  <c r="G16" i="8"/>
  <c r="F16" i="8"/>
  <c r="E16" i="8"/>
  <c r="G13" i="8"/>
  <c r="F13" i="8"/>
  <c r="E13" i="8"/>
  <c r="D13" i="8"/>
  <c r="C13" i="8"/>
  <c r="G12" i="8"/>
  <c r="F12" i="8"/>
  <c r="E12" i="8"/>
  <c r="D12" i="8"/>
  <c r="D44" i="7"/>
  <c r="C53" i="7"/>
  <c r="H11" i="7"/>
  <c r="H14" i="7"/>
  <c r="H15" i="7"/>
  <c r="H19" i="7"/>
  <c r="I11" i="7"/>
  <c r="J11" i="7"/>
  <c r="K11" i="7"/>
  <c r="K14" i="7"/>
  <c r="K15" i="7"/>
  <c r="K19" i="7"/>
  <c r="L11" i="7"/>
  <c r="L14" i="7"/>
  <c r="L15" i="7"/>
  <c r="L19" i="7"/>
  <c r="M11" i="7"/>
  <c r="M14" i="7"/>
  <c r="M15" i="7"/>
  <c r="M19" i="7"/>
  <c r="N11" i="7"/>
  <c r="N14" i="7"/>
  <c r="N15" i="7"/>
  <c r="N19" i="7"/>
  <c r="O11" i="7"/>
  <c r="O14" i="7"/>
  <c r="O15" i="7"/>
  <c r="O19" i="7"/>
  <c r="P11" i="7"/>
  <c r="P14" i="7"/>
  <c r="P15" i="7"/>
  <c r="P19" i="7"/>
  <c r="Q11" i="7"/>
  <c r="Q14" i="7"/>
  <c r="Q15" i="7"/>
  <c r="Q19" i="7"/>
  <c r="R11" i="7"/>
  <c r="R14" i="7"/>
  <c r="R15" i="7"/>
  <c r="R19" i="7"/>
  <c r="I14" i="7"/>
  <c r="I15" i="7"/>
  <c r="I19" i="7"/>
  <c r="J14" i="7"/>
  <c r="J15" i="7"/>
  <c r="J19" i="7"/>
  <c r="D47" i="7"/>
  <c r="D48" i="7"/>
  <c r="D49" i="7"/>
  <c r="D50" i="7"/>
  <c r="C47" i="7"/>
  <c r="D42" i="7"/>
  <c r="D41" i="7"/>
  <c r="D40" i="7"/>
  <c r="D39" i="7"/>
  <c r="D38" i="7"/>
  <c r="G16" i="7"/>
  <c r="F16" i="7"/>
  <c r="E16" i="7"/>
  <c r="G13" i="7"/>
  <c r="F13" i="7"/>
  <c r="E13" i="7"/>
  <c r="D13" i="7"/>
  <c r="C13" i="7"/>
  <c r="G12" i="7"/>
  <c r="F12" i="7"/>
  <c r="E12" i="7"/>
  <c r="D12" i="7"/>
</calcChain>
</file>

<file path=xl/sharedStrings.xml><?xml version="1.0" encoding="utf-8"?>
<sst xmlns="http://schemas.openxmlformats.org/spreadsheetml/2006/main" count="90" uniqueCount="49">
  <si>
    <t>Bewertung</t>
  </si>
  <si>
    <t>Umsatz-Wachstum, %</t>
  </si>
  <si>
    <t>Unterbewertung</t>
  </si>
  <si>
    <t>Fairer Wert</t>
  </si>
  <si>
    <t>Diskontierungsfaktor (WACC)</t>
  </si>
  <si>
    <t>Umsatz</t>
  </si>
  <si>
    <t>Marktkapitalisierung, Mio.</t>
  </si>
  <si>
    <t>Verhältnis EBIT zu Konzerngewinn:</t>
  </si>
  <si>
    <t>Bestimmung des WACC:</t>
  </si>
  <si>
    <t>Branche</t>
  </si>
  <si>
    <t>Gesamt Branche:</t>
  </si>
  <si>
    <t>EK Quote:</t>
  </si>
  <si>
    <t>Durschn. 5 Jahre</t>
  </si>
  <si>
    <t>Vereinfachter WACC:</t>
  </si>
  <si>
    <t>Fairer Wert Vz Aktie</t>
  </si>
  <si>
    <t>Fairer Wert St. Aktie</t>
  </si>
  <si>
    <t>Schätzungen »</t>
  </si>
  <si>
    <t>Gewinn (30% Zinsen/Steuern/sonstiges)</t>
  </si>
  <si>
    <t>EKQ: &lt; 15 %</t>
  </si>
  <si>
    <t>EKQ: &lt; 30%</t>
  </si>
  <si>
    <t>2,5 % Aufschlag</t>
  </si>
  <si>
    <t>EKQ &lt; 40 %</t>
  </si>
  <si>
    <t>EKQ &lt; 50 %</t>
  </si>
  <si>
    <t>1 % Aufschlag</t>
  </si>
  <si>
    <t xml:space="preserve">EKQ &lt; 60 % </t>
  </si>
  <si>
    <t>0,5 % Aufschlag</t>
  </si>
  <si>
    <t>1,5 % Aufschlag</t>
  </si>
  <si>
    <t>0,25 % Aufschlag</t>
  </si>
  <si>
    <t>WACC gesamt</t>
  </si>
  <si>
    <t>Discounted Net-Profit Modell</t>
  </si>
  <si>
    <t>Anzahl Aktien gesamt, Mio.</t>
  </si>
  <si>
    <t>Abgezinster Gewinn:</t>
  </si>
  <si>
    <t xml:space="preserve">Kurs pro Aktie </t>
  </si>
  <si>
    <t>Optimistischce Annahmen für Allianz</t>
  </si>
  <si>
    <t>2031ff.</t>
  </si>
  <si>
    <t>Alle Angaben in Mio. EUR</t>
  </si>
  <si>
    <t>EBT</t>
  </si>
  <si>
    <t>EBT-Marge, %</t>
  </si>
  <si>
    <t>Großzügig: 30 % Abschlag vom EBT</t>
  </si>
  <si>
    <t>EUR</t>
  </si>
  <si>
    <t xml:space="preserve">Insurance </t>
  </si>
  <si>
    <t xml:space="preserve">relativ niedrige Verschuldung für einen Versicherer. Verglichen mit </t>
  </si>
  <si>
    <t>dem EBITDA. Daher nur geringer Aufschlag von 0,5 %</t>
  </si>
  <si>
    <t xml:space="preserve">Versicherer sind allgemein eher in einem riskanteren Markt aktiv. </t>
  </si>
  <si>
    <t xml:space="preserve">Klagen wirken sich i.H.v. 3 Mrd. EUR aus. </t>
  </si>
  <si>
    <t xml:space="preserve">Klagen wirken sich i.H.v. 6 Mrd. EUR aus. </t>
  </si>
  <si>
    <t>EK Quote/Verschuldung:</t>
  </si>
  <si>
    <t>leichte Verschuldung.</t>
  </si>
  <si>
    <t>Gewinn (30% /Steuern/sonstiges)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</si>
</sst>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dd\.mm\.yy;@"/>
    <numFmt numFmtId="165" formatCode="#,##0.0"/>
    <numFmt numFmtId="166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9" fontId="0" fillId="2" borderId="0" xfId="1" applyFont="1" applyFill="1"/>
    <xf numFmtId="0" fontId="0" fillId="2" borderId="0" xfId="0" applyFill="1" applyAlignment="1">
      <alignment wrapText="1"/>
    </xf>
    <xf numFmtId="0" fontId="5" fillId="2" borderId="0" xfId="0" applyFont="1" applyFill="1"/>
    <xf numFmtId="38" fontId="0" fillId="2" borderId="0" xfId="0" applyNumberFormat="1" applyFill="1"/>
    <xf numFmtId="3" fontId="4" fillId="2" borderId="0" xfId="0" quotePrefix="1" applyNumberFormat="1" applyFont="1" applyFill="1"/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7" fillId="2" borderId="0" xfId="0" applyFont="1" applyFill="1"/>
    <xf numFmtId="9" fontId="7" fillId="2" borderId="0" xfId="1" applyFont="1" applyFill="1"/>
    <xf numFmtId="0" fontId="0" fillId="4" borderId="0" xfId="0" applyFill="1"/>
    <xf numFmtId="44" fontId="3" fillId="2" borderId="0" xfId="3" applyFont="1" applyFill="1"/>
    <xf numFmtId="0" fontId="3" fillId="4" borderId="0" xfId="0" applyFont="1" applyFill="1"/>
    <xf numFmtId="0" fontId="2" fillId="4" borderId="0" xfId="0" applyFont="1" applyFill="1"/>
    <xf numFmtId="0" fontId="3" fillId="5" borderId="0" xfId="0" applyFont="1" applyFill="1"/>
    <xf numFmtId="3" fontId="0" fillId="5" borderId="0" xfId="0" applyNumberFormat="1" applyFont="1" applyFill="1"/>
    <xf numFmtId="9" fontId="0" fillId="5" borderId="0" xfId="1" applyFont="1" applyFill="1"/>
    <xf numFmtId="3" fontId="0" fillId="5" borderId="0" xfId="0" applyNumberFormat="1" applyFill="1"/>
    <xf numFmtId="9" fontId="1" fillId="6" borderId="0" xfId="1" applyFont="1" applyFill="1"/>
    <xf numFmtId="3" fontId="0" fillId="7" borderId="0" xfId="0" applyNumberFormat="1" applyFont="1" applyFill="1"/>
    <xf numFmtId="9" fontId="1" fillId="7" borderId="0" xfId="1" applyFont="1" applyFill="1"/>
    <xf numFmtId="166" fontId="1" fillId="7" borderId="0" xfId="1" applyNumberFormat="1" applyFont="1" applyFill="1"/>
    <xf numFmtId="0" fontId="0" fillId="2" borderId="1" xfId="0" applyFill="1" applyBorder="1" applyAlignment="1">
      <alignment wrapText="1"/>
    </xf>
    <xf numFmtId="0" fontId="6" fillId="2" borderId="2" xfId="0" applyFont="1" applyFill="1" applyBorder="1"/>
    <xf numFmtId="0" fontId="0" fillId="2" borderId="2" xfId="0" applyFill="1" applyBorder="1"/>
    <xf numFmtId="9" fontId="0" fillId="2" borderId="2" xfId="1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164" fontId="3" fillId="6" borderId="0" xfId="0" applyNumberFormat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0" fontId="8" fillId="6" borderId="0" xfId="0" applyFont="1" applyFill="1"/>
    <xf numFmtId="4" fontId="3" fillId="6" borderId="0" xfId="0" applyNumberFormat="1" applyFont="1" applyFill="1"/>
    <xf numFmtId="0" fontId="3" fillId="2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9" fillId="2" borderId="0" xfId="0" applyFont="1" applyFill="1"/>
    <xf numFmtId="4" fontId="3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6" fontId="1" fillId="2" borderId="0" xfId="1" applyNumberFormat="1" applyFont="1" applyFill="1" applyBorder="1"/>
    <xf numFmtId="3" fontId="3" fillId="2" borderId="0" xfId="0" applyNumberFormat="1" applyFont="1" applyFill="1" applyBorder="1"/>
    <xf numFmtId="166" fontId="3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3" fillId="2" borderId="0" xfId="0" applyNumberFormat="1" applyFont="1" applyFill="1" applyBorder="1"/>
    <xf numFmtId="9" fontId="0" fillId="2" borderId="0" xfId="1" applyFont="1" applyFill="1" applyBorder="1"/>
    <xf numFmtId="10" fontId="3" fillId="2" borderId="10" xfId="0" applyNumberFormat="1" applyFont="1" applyFill="1" applyBorder="1"/>
    <xf numFmtId="0" fontId="3" fillId="8" borderId="0" xfId="0" applyFont="1" applyFill="1" applyAlignment="1">
      <alignment vertical="center" wrapText="1"/>
    </xf>
    <xf numFmtId="0" fontId="0" fillId="8" borderId="0" xfId="0" applyFill="1"/>
    <xf numFmtId="3" fontId="0" fillId="8" borderId="0" xfId="0" applyNumberFormat="1" applyFont="1" applyFill="1"/>
    <xf numFmtId="4" fontId="7" fillId="8" borderId="0" xfId="0" applyNumberFormat="1" applyFont="1" applyFill="1"/>
    <xf numFmtId="165" fontId="0" fillId="8" borderId="0" xfId="0" applyNumberFormat="1" applyFill="1"/>
    <xf numFmtId="9" fontId="0" fillId="8" borderId="0" xfId="1" applyFont="1" applyFill="1"/>
    <xf numFmtId="0" fontId="3" fillId="8" borderId="0" xfId="0" applyFont="1" applyFill="1"/>
    <xf numFmtId="1" fontId="1" fillId="8" borderId="0" xfId="1" applyNumberFormat="1" applyFont="1" applyFill="1"/>
    <xf numFmtId="10" fontId="3" fillId="8" borderId="0" xfId="1" applyNumberFormat="1" applyFont="1" applyFill="1"/>
    <xf numFmtId="0" fontId="0" fillId="2" borderId="1" xfId="0" applyFill="1" applyBorder="1"/>
    <xf numFmtId="0" fontId="7" fillId="2" borderId="2" xfId="0" applyFont="1" applyFill="1" applyBorder="1"/>
    <xf numFmtId="2" fontId="5" fillId="2" borderId="2" xfId="0" applyNumberFormat="1" applyFont="1" applyFill="1" applyBorder="1"/>
    <xf numFmtId="2" fontId="5" fillId="2" borderId="3" xfId="0" applyNumberFormat="1" applyFont="1" applyFill="1" applyBorder="1"/>
    <xf numFmtId="0" fontId="8" fillId="7" borderId="0" xfId="0" applyFont="1" applyFill="1" applyAlignment="1">
      <alignment horizontal="right" vertical="center"/>
    </xf>
    <xf numFmtId="0" fontId="3" fillId="7" borderId="0" xfId="0" applyFont="1" applyFill="1"/>
  </cellXfs>
  <cellStyles count="4">
    <cellStyle name="Prozent" xfId="1" builtinId="5"/>
    <cellStyle name="Prozent 2" xfId="2"/>
    <cellStyle name="Standard" xfId="0" builtinId="0"/>
    <cellStyle name="Währung" xfId="3" builtin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CCCCFF"/>
      <color rgb="FF9966FF"/>
      <color rgb="FF9900CC"/>
      <color rgb="FFFFEB7D"/>
      <color rgb="FFFFD802"/>
      <color rgb="FFFFFAE0"/>
      <color rgb="FFCBD5E0"/>
      <color rgb="FFFFE1E2"/>
      <color rgb="FF9CF5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/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/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547687</xdr:colOff>
      <xdr:row>6</xdr:row>
      <xdr:rowOff>23813</xdr:rowOff>
    </xdr:from>
    <xdr:to>
      <xdr:col>8</xdr:col>
      <xdr:colOff>547687</xdr:colOff>
      <xdr:row>7</xdr:row>
      <xdr:rowOff>178592</xdr:rowOff>
    </xdr:to>
    <xdr:cxnSp macro="">
      <xdr:nvCxnSpPr>
        <xdr:cNvPr id="5" name="Gerade Verbindung mit Pfeil 4"/>
        <xdr:cNvCxnSpPr/>
      </xdr:nvCxnSpPr>
      <xdr:spPr>
        <a:xfrm>
          <a:off x="11691937" y="1369219"/>
          <a:ext cx="0" cy="35718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/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/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547687</xdr:colOff>
      <xdr:row>6</xdr:row>
      <xdr:rowOff>23813</xdr:rowOff>
    </xdr:from>
    <xdr:to>
      <xdr:col>8</xdr:col>
      <xdr:colOff>547687</xdr:colOff>
      <xdr:row>7</xdr:row>
      <xdr:rowOff>178592</xdr:rowOff>
    </xdr:to>
    <xdr:cxnSp macro="">
      <xdr:nvCxnSpPr>
        <xdr:cNvPr id="4" name="Gerade Verbindung mit Pfeil 3"/>
        <xdr:cNvCxnSpPr/>
      </xdr:nvCxnSpPr>
      <xdr:spPr>
        <a:xfrm>
          <a:off x="11701462" y="1357313"/>
          <a:ext cx="0" cy="354804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3"/>
  <sheetViews>
    <sheetView tabSelected="1" topLeftCell="A4" zoomScale="80" zoomScaleNormal="80" workbookViewId="0">
      <selection activeCell="E16" sqref="E16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6" width="10.625" style="1"/>
    <col min="17" max="18" width="10.625" style="1" customWidth="1"/>
    <col min="19" max="16384" width="10.625" style="1"/>
  </cols>
  <sheetData>
    <row r="2" spans="1:28" ht="26.25" x14ac:dyDescent="0.4">
      <c r="B2" s="46" t="s">
        <v>29</v>
      </c>
    </row>
    <row r="4" spans="1:28" x14ac:dyDescent="0.25">
      <c r="B4" s="35" t="s">
        <v>33</v>
      </c>
    </row>
    <row r="6" spans="1:28" x14ac:dyDescent="0.25">
      <c r="B6" s="1" t="s">
        <v>35</v>
      </c>
      <c r="I6" s="1" t="s">
        <v>44</v>
      </c>
    </row>
    <row r="9" spans="1:28" s="11" customFormat="1" x14ac:dyDescent="0.25">
      <c r="H9" s="13" t="s">
        <v>16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x14ac:dyDescent="0.25">
      <c r="A10" s="7"/>
      <c r="B10" s="7"/>
      <c r="C10" s="15">
        <v>2016</v>
      </c>
      <c r="D10" s="15">
        <v>2017</v>
      </c>
      <c r="E10" s="15">
        <v>2018</v>
      </c>
      <c r="F10" s="15">
        <v>2019</v>
      </c>
      <c r="G10" s="15">
        <v>2020</v>
      </c>
      <c r="H10" s="75">
        <v>2021</v>
      </c>
      <c r="I10" s="75">
        <v>2022</v>
      </c>
      <c r="J10" s="75">
        <v>2023</v>
      </c>
      <c r="K10" s="75">
        <v>2024</v>
      </c>
      <c r="L10" s="75">
        <v>2025</v>
      </c>
      <c r="M10" s="75">
        <v>2026</v>
      </c>
      <c r="N10" s="75">
        <v>2027</v>
      </c>
      <c r="O10" s="75">
        <v>2028</v>
      </c>
      <c r="P10" s="75">
        <v>2029</v>
      </c>
      <c r="Q10" s="75">
        <v>2030</v>
      </c>
      <c r="R10" s="74" t="s">
        <v>34</v>
      </c>
    </row>
    <row r="11" spans="1:28" x14ac:dyDescent="0.25">
      <c r="A11" s="8"/>
      <c r="B11" s="7" t="s">
        <v>5</v>
      </c>
      <c r="C11" s="16">
        <v>122416</v>
      </c>
      <c r="D11" s="16">
        <v>126419</v>
      </c>
      <c r="E11" s="16">
        <v>132283</v>
      </c>
      <c r="F11" s="16">
        <v>142369</v>
      </c>
      <c r="G11" s="16">
        <v>140455</v>
      </c>
      <c r="H11" s="20">
        <f t="shared" ref="H11:L11" si="0">G11*(1+H12)</f>
        <v>142561.82499999998</v>
      </c>
      <c r="I11" s="20">
        <f t="shared" si="0"/>
        <v>147551.48887499998</v>
      </c>
      <c r="J11" s="20">
        <f t="shared" si="0"/>
        <v>152715.79098562498</v>
      </c>
      <c r="K11" s="20">
        <f t="shared" si="0"/>
        <v>157297.26471519374</v>
      </c>
      <c r="L11" s="20">
        <f t="shared" si="0"/>
        <v>162016.18265664956</v>
      </c>
      <c r="M11" s="20">
        <f>L11*(1+M12)</f>
        <v>166876.66813634904</v>
      </c>
      <c r="N11" s="20">
        <f t="shared" ref="N11:R11" si="1">M11*(1+N12)</f>
        <v>170214.20149907601</v>
      </c>
      <c r="O11" s="20">
        <f t="shared" si="1"/>
        <v>173618.48552905754</v>
      </c>
      <c r="P11" s="20">
        <f t="shared" si="1"/>
        <v>177090.85523963868</v>
      </c>
      <c r="Q11" s="20">
        <f t="shared" si="1"/>
        <v>180632.67234443146</v>
      </c>
      <c r="R11" s="20">
        <f t="shared" si="1"/>
        <v>184245.32579132009</v>
      </c>
    </row>
    <row r="12" spans="1:28" x14ac:dyDescent="0.25">
      <c r="A12" s="8"/>
      <c r="B12" s="7" t="s">
        <v>1</v>
      </c>
      <c r="C12" s="17"/>
      <c r="D12" s="17">
        <f>D11/C11-1</f>
        <v>3.2699973859626086E-2</v>
      </c>
      <c r="E12" s="17">
        <f>E11/D11-1</f>
        <v>4.6385432569471252E-2</v>
      </c>
      <c r="F12" s="17">
        <f>F11/E11-1</f>
        <v>7.6245624910230347E-2</v>
      </c>
      <c r="G12" s="17">
        <f>G11/F11-1</f>
        <v>-1.3443937935927019E-2</v>
      </c>
      <c r="H12" s="22">
        <v>1.4999999999999999E-2</v>
      </c>
      <c r="I12" s="22">
        <v>3.5000000000000003E-2</v>
      </c>
      <c r="J12" s="22">
        <v>3.5000000000000003E-2</v>
      </c>
      <c r="K12" s="22">
        <v>0.03</v>
      </c>
      <c r="L12" s="22">
        <v>0.03</v>
      </c>
      <c r="M12" s="22">
        <v>0.03</v>
      </c>
      <c r="N12" s="22">
        <v>0.02</v>
      </c>
      <c r="O12" s="22">
        <v>0.02</v>
      </c>
      <c r="P12" s="22">
        <v>0.02</v>
      </c>
      <c r="Q12" s="22">
        <v>0.02</v>
      </c>
      <c r="R12" s="22">
        <v>0.02</v>
      </c>
    </row>
    <row r="13" spans="1:28" ht="15.95" customHeight="1" x14ac:dyDescent="0.25">
      <c r="A13" s="8"/>
      <c r="B13" s="7" t="s">
        <v>37</v>
      </c>
      <c r="C13" s="17">
        <f>C14/C11</f>
        <v>8.4073977257874785E-2</v>
      </c>
      <c r="D13" s="17">
        <f t="shared" ref="D13:G13" si="2">D14/D11</f>
        <v>8.0272743812243419E-2</v>
      </c>
      <c r="E13" s="17">
        <f t="shared" si="2"/>
        <v>7.8611764172267035E-2</v>
      </c>
      <c r="F13" s="17">
        <f t="shared" si="2"/>
        <v>7.7804859203899721E-2</v>
      </c>
      <c r="G13" s="17">
        <f t="shared" si="2"/>
        <v>6.8377772240219292E-2</v>
      </c>
      <c r="H13" s="21">
        <v>0.08</v>
      </c>
      <c r="I13" s="21">
        <v>0.05</v>
      </c>
      <c r="J13" s="21">
        <v>0.08</v>
      </c>
      <c r="K13" s="21">
        <v>0.09</v>
      </c>
      <c r="L13" s="21">
        <v>0.09</v>
      </c>
      <c r="M13" s="22">
        <v>9.5000000000000001E-2</v>
      </c>
      <c r="N13" s="22">
        <v>9.5000000000000001E-2</v>
      </c>
      <c r="O13" s="22">
        <v>9.5000000000000001E-2</v>
      </c>
      <c r="P13" s="22">
        <v>9.5000000000000001E-2</v>
      </c>
      <c r="Q13" s="22">
        <v>9.5000000000000001E-2</v>
      </c>
      <c r="R13" s="22">
        <v>9.5000000000000001E-2</v>
      </c>
    </row>
    <row r="14" spans="1:28" ht="17.100000000000001" customHeight="1" x14ac:dyDescent="0.25">
      <c r="A14" s="8"/>
      <c r="B14" s="7" t="s">
        <v>36</v>
      </c>
      <c r="C14" s="16">
        <v>10292</v>
      </c>
      <c r="D14" s="16">
        <v>10148</v>
      </c>
      <c r="E14" s="16">
        <v>10399</v>
      </c>
      <c r="F14" s="16">
        <v>11077</v>
      </c>
      <c r="G14" s="16">
        <v>9604</v>
      </c>
      <c r="H14" s="20">
        <f>H11*H13</f>
        <v>11404.945999999998</v>
      </c>
      <c r="I14" s="20">
        <f t="shared" ref="I14:R14" si="3">I11*I13</f>
        <v>7377.5744437499998</v>
      </c>
      <c r="J14" s="20">
        <f t="shared" si="3"/>
        <v>12217.263278849998</v>
      </c>
      <c r="K14" s="20">
        <f t="shared" si="3"/>
        <v>14156.753824367437</v>
      </c>
      <c r="L14" s="20">
        <f t="shared" si="3"/>
        <v>14581.45643909846</v>
      </c>
      <c r="M14" s="20">
        <f t="shared" si="3"/>
        <v>15853.283472953159</v>
      </c>
      <c r="N14" s="20">
        <f t="shared" si="3"/>
        <v>16170.34914241222</v>
      </c>
      <c r="O14" s="20">
        <f>O11*O13</f>
        <v>16493.756125260465</v>
      </c>
      <c r="P14" s="20">
        <f t="shared" si="3"/>
        <v>16823.631247765676</v>
      </c>
      <c r="Q14" s="20">
        <f t="shared" si="3"/>
        <v>17160.103872720989</v>
      </c>
      <c r="R14" s="20">
        <f t="shared" si="3"/>
        <v>17503.305950175411</v>
      </c>
    </row>
    <row r="15" spans="1:28" ht="16.5" thickBot="1" x14ac:dyDescent="0.3">
      <c r="A15" s="19">
        <v>0.3</v>
      </c>
      <c r="B15" s="7" t="s">
        <v>48</v>
      </c>
      <c r="C15" s="18"/>
      <c r="D15" s="16"/>
      <c r="E15" s="16">
        <v>7462</v>
      </c>
      <c r="F15" s="16">
        <v>7914</v>
      </c>
      <c r="G15" s="16">
        <v>6807</v>
      </c>
      <c r="H15" s="20">
        <f>H14*(1-$A$15)</f>
        <v>7983.4621999999981</v>
      </c>
      <c r="I15" s="20">
        <f t="shared" ref="I15:Q15" si="4">I14*(1-$A$15)</f>
        <v>5164.3021106249998</v>
      </c>
      <c r="J15" s="20">
        <f t="shared" si="4"/>
        <v>8552.084295194998</v>
      </c>
      <c r="K15" s="20">
        <f t="shared" si="4"/>
        <v>9909.7276770572062</v>
      </c>
      <c r="L15" s="20">
        <f t="shared" si="4"/>
        <v>10207.019507368921</v>
      </c>
      <c r="M15" s="20">
        <f t="shared" si="4"/>
        <v>11097.298431067211</v>
      </c>
      <c r="N15" s="20">
        <f t="shared" si="4"/>
        <v>11319.244399688554</v>
      </c>
      <c r="O15" s="20">
        <f t="shared" si="4"/>
        <v>11545.629287682325</v>
      </c>
      <c r="P15" s="20">
        <f t="shared" si="4"/>
        <v>11776.541873435972</v>
      </c>
      <c r="Q15" s="20">
        <f t="shared" si="4"/>
        <v>12012.072710904691</v>
      </c>
      <c r="R15" s="20">
        <f>R14*(1-$A$15)</f>
        <v>12252.314165122787</v>
      </c>
    </row>
    <row r="16" spans="1:28" ht="32.25" thickBot="1" x14ac:dyDescent="0.3">
      <c r="A16" s="23" t="s">
        <v>7</v>
      </c>
      <c r="B16" s="24"/>
      <c r="C16" s="25"/>
      <c r="D16" s="25"/>
      <c r="E16" s="26">
        <f>E15/E14</f>
        <v>0.71756899701894417</v>
      </c>
      <c r="F16" s="26">
        <f>F15/F14</f>
        <v>0.71445337185158442</v>
      </c>
      <c r="G16" s="27">
        <f>G15/G14</f>
        <v>0.70876718034152442</v>
      </c>
    </row>
    <row r="17" spans="1:18" x14ac:dyDescent="0.25">
      <c r="A17" s="3"/>
      <c r="G17" s="9"/>
      <c r="H17" s="9"/>
      <c r="I17" s="9"/>
      <c r="J17" s="9"/>
      <c r="K17" s="9"/>
      <c r="L17" s="9"/>
      <c r="M17" s="9"/>
      <c r="N17" s="9"/>
      <c r="O17" s="9"/>
      <c r="P17" s="4"/>
      <c r="Q17" s="4"/>
      <c r="R17" s="4"/>
    </row>
    <row r="18" spans="1:18" ht="16.5" thickBot="1" x14ac:dyDescent="0.3">
      <c r="A18" s="3"/>
      <c r="G18" s="9"/>
      <c r="I18" s="9"/>
      <c r="J18" s="9"/>
      <c r="K18" s="9"/>
      <c r="L18" s="9"/>
      <c r="M18" s="9"/>
      <c r="N18" s="9"/>
      <c r="O18" s="9"/>
      <c r="P18" s="4"/>
      <c r="Q18" s="4"/>
      <c r="R18" s="4"/>
    </row>
    <row r="19" spans="1:18" ht="16.5" thickBot="1" x14ac:dyDescent="0.3">
      <c r="A19" s="3"/>
      <c r="F19" s="70" t="s">
        <v>31</v>
      </c>
      <c r="G19" s="71"/>
      <c r="H19" s="72">
        <f>H15/(1+$C$53)</f>
        <v>7324.27724770642</v>
      </c>
      <c r="I19" s="72">
        <f>I15/(1+$C$53)^2</f>
        <v>4346.6897656973315</v>
      </c>
      <c r="J19" s="72">
        <f>J15/(1+$C$53)^3</f>
        <v>6603.7782128392464</v>
      </c>
      <c r="K19" s="72">
        <f>K15/(1+$C$53)^4</f>
        <v>7020.3009212178704</v>
      </c>
      <c r="L19" s="72">
        <f>L15/(1+$C$53)^5</f>
        <v>6633.8623383985359</v>
      </c>
      <c r="M19" s="72">
        <f>M15/(1+$C$53)^6</f>
        <v>6616.9564710733612</v>
      </c>
      <c r="N19" s="72">
        <f>N15/(1+$C$53)^7</f>
        <v>6192.0143123805765</v>
      </c>
      <c r="O19" s="72">
        <f>O15/(1+$C$53)^8</f>
        <v>5794.3620170900804</v>
      </c>
      <c r="P19" s="72">
        <f>P15/(1+$C$53)^9</f>
        <v>5422.2470251668638</v>
      </c>
      <c r="Q19" s="72">
        <f>Q15/(1+$C$53)^10</f>
        <v>5074.0293263029362</v>
      </c>
      <c r="R19" s="73">
        <f>(R15/(C53-R12))/(1+C53)^10</f>
        <v>73935.855897557078</v>
      </c>
    </row>
    <row r="20" spans="1:18" x14ac:dyDescent="0.25">
      <c r="A20" s="3"/>
      <c r="C20" s="1" t="s">
        <v>38</v>
      </c>
      <c r="G20" s="9"/>
      <c r="H20" s="10"/>
      <c r="I20" s="9"/>
      <c r="J20" s="9"/>
      <c r="K20" s="9"/>
      <c r="L20" s="9"/>
      <c r="M20" s="9"/>
      <c r="N20" s="9"/>
      <c r="O20" s="9"/>
      <c r="P20" s="4"/>
      <c r="Q20" s="4"/>
      <c r="R20" s="4"/>
    </row>
    <row r="21" spans="1:18" x14ac:dyDescent="0.25">
      <c r="A21" s="3"/>
      <c r="P21" s="4"/>
      <c r="Q21" s="4"/>
      <c r="R21" s="4"/>
    </row>
    <row r="22" spans="1:18" ht="16.5" thickBot="1" x14ac:dyDescent="0.3">
      <c r="P22" s="4"/>
      <c r="Q22" s="4"/>
      <c r="R22" s="4"/>
    </row>
    <row r="23" spans="1:18" x14ac:dyDescent="0.25">
      <c r="A23" s="47" t="s">
        <v>8</v>
      </c>
      <c r="B23" s="48"/>
      <c r="C23" s="48"/>
      <c r="D23" s="49"/>
      <c r="E23" s="37"/>
      <c r="F23" s="48"/>
      <c r="G23" s="37"/>
      <c r="H23" s="37"/>
      <c r="I23" s="37"/>
      <c r="J23" s="38"/>
    </row>
    <row r="24" spans="1:18" x14ac:dyDescent="0.25">
      <c r="A24" s="50"/>
      <c r="B24" s="51"/>
      <c r="C24" s="51"/>
      <c r="D24" s="52"/>
      <c r="E24" s="51"/>
      <c r="F24" s="51"/>
      <c r="G24" s="40"/>
      <c r="H24" s="40"/>
      <c r="I24" s="40"/>
      <c r="J24" s="41"/>
    </row>
    <row r="25" spans="1:18" ht="16.5" thickBot="1" x14ac:dyDescent="0.3">
      <c r="A25" s="50" t="s">
        <v>9</v>
      </c>
      <c r="B25" s="51" t="s">
        <v>40</v>
      </c>
      <c r="C25" s="51"/>
      <c r="D25" s="53">
        <v>8.5000000000000006E-2</v>
      </c>
      <c r="E25" s="40"/>
      <c r="F25" s="51" t="s">
        <v>43</v>
      </c>
      <c r="G25" s="40"/>
      <c r="H25" s="40"/>
      <c r="I25" s="40"/>
      <c r="J25" s="41"/>
    </row>
    <row r="26" spans="1:18" ht="16.5" thickBot="1" x14ac:dyDescent="0.3">
      <c r="A26" s="50"/>
      <c r="B26" s="51"/>
      <c r="C26" s="51"/>
      <c r="D26" s="53"/>
      <c r="E26" s="40"/>
      <c r="F26" s="51"/>
      <c r="G26" s="40"/>
      <c r="H26" s="40"/>
      <c r="I26" s="40"/>
      <c r="J26" s="41"/>
      <c r="M26" s="36"/>
      <c r="N26" s="37"/>
      <c r="O26" s="38"/>
    </row>
    <row r="27" spans="1:18" x14ac:dyDescent="0.25">
      <c r="A27" s="50"/>
      <c r="B27" s="51"/>
      <c r="C27" s="51"/>
      <c r="D27" s="54"/>
      <c r="E27" s="40"/>
      <c r="F27" s="51"/>
      <c r="G27" s="40"/>
      <c r="H27" s="40"/>
      <c r="I27" s="40"/>
      <c r="J27" s="41"/>
      <c r="M27" s="36" t="s">
        <v>18</v>
      </c>
      <c r="N27" s="37" t="s">
        <v>20</v>
      </c>
      <c r="O27" s="38"/>
    </row>
    <row r="28" spans="1:18" x14ac:dyDescent="0.25">
      <c r="A28" s="50"/>
      <c r="B28" s="51" t="s">
        <v>10</v>
      </c>
      <c r="C28" s="51"/>
      <c r="D28" s="55">
        <v>8.5000000000000006E-2</v>
      </c>
      <c r="E28" s="40"/>
      <c r="F28" s="51"/>
      <c r="G28" s="40"/>
      <c r="H28" s="40"/>
      <c r="I28" s="40"/>
      <c r="J28" s="41"/>
      <c r="M28" s="39" t="s">
        <v>19</v>
      </c>
      <c r="N28" s="40" t="s">
        <v>26</v>
      </c>
      <c r="O28" s="41"/>
      <c r="R28" s="6"/>
    </row>
    <row r="29" spans="1:18" x14ac:dyDescent="0.25">
      <c r="A29" s="50"/>
      <c r="B29" s="51"/>
      <c r="C29" s="51"/>
      <c r="D29" s="52"/>
      <c r="E29" s="40"/>
      <c r="F29" s="51"/>
      <c r="G29" s="40"/>
      <c r="H29" s="40"/>
      <c r="I29" s="40"/>
      <c r="J29" s="41"/>
      <c r="M29" s="39" t="s">
        <v>21</v>
      </c>
      <c r="N29" s="42" t="s">
        <v>23</v>
      </c>
      <c r="O29" s="41"/>
      <c r="R29" s="6"/>
    </row>
    <row r="30" spans="1:18" x14ac:dyDescent="0.25">
      <c r="A30" s="39"/>
      <c r="B30" s="40"/>
      <c r="C30" s="56"/>
      <c r="D30" s="40"/>
      <c r="E30" s="51"/>
      <c r="F30" s="51"/>
      <c r="G30" s="40"/>
      <c r="H30" s="40"/>
      <c r="I30" s="40"/>
      <c r="J30" s="41"/>
      <c r="M30" s="39" t="s">
        <v>22</v>
      </c>
      <c r="N30" s="40" t="s">
        <v>25</v>
      </c>
      <c r="O30" s="41"/>
      <c r="P30" s="2"/>
      <c r="Q30" s="2"/>
      <c r="R30" s="2"/>
    </row>
    <row r="31" spans="1:18" ht="16.5" thickBot="1" x14ac:dyDescent="0.3">
      <c r="A31" s="39"/>
      <c r="B31" s="40"/>
      <c r="C31" s="40"/>
      <c r="D31" s="40"/>
      <c r="E31" s="40"/>
      <c r="F31" s="40"/>
      <c r="G31" s="40"/>
      <c r="H31" s="40"/>
      <c r="I31" s="40"/>
      <c r="J31" s="41"/>
      <c r="M31" s="43" t="s">
        <v>24</v>
      </c>
      <c r="N31" s="44" t="s">
        <v>27</v>
      </c>
      <c r="O31" s="45"/>
    </row>
    <row r="32" spans="1:18" x14ac:dyDescent="0.25">
      <c r="A32" s="50" t="s">
        <v>46</v>
      </c>
      <c r="B32" s="51"/>
      <c r="C32" s="57"/>
      <c r="D32" s="42">
        <v>5.0000000000000001E-3</v>
      </c>
      <c r="E32" s="40"/>
      <c r="F32" s="40" t="s">
        <v>47</v>
      </c>
      <c r="G32" s="40"/>
      <c r="H32" s="40"/>
      <c r="I32" s="40"/>
      <c r="J32" s="41"/>
    </row>
    <row r="33" spans="1:10" ht="15.75" hidden="1" customHeight="1" x14ac:dyDescent="0.25">
      <c r="A33" s="39"/>
      <c r="B33" s="40"/>
      <c r="C33" s="40"/>
      <c r="D33" s="40"/>
      <c r="E33" s="40"/>
      <c r="F33" s="40"/>
      <c r="G33" s="40"/>
      <c r="H33" s="40"/>
      <c r="I33" s="40"/>
      <c r="J33" s="41"/>
    </row>
    <row r="34" spans="1:10" ht="15.75" hidden="1" customHeight="1" x14ac:dyDescent="0.25">
      <c r="A34" s="39"/>
      <c r="B34" s="40" t="s">
        <v>13</v>
      </c>
      <c r="C34" s="40"/>
      <c r="D34" s="58">
        <v>0.08</v>
      </c>
      <c r="E34" s="40"/>
      <c r="F34" s="40"/>
      <c r="G34" s="40"/>
      <c r="H34" s="40"/>
      <c r="I34" s="40"/>
      <c r="J34" s="41"/>
    </row>
    <row r="35" spans="1:10" ht="15.75" hidden="1" customHeight="1" x14ac:dyDescent="0.25">
      <c r="A35" s="39"/>
      <c r="B35" s="40"/>
      <c r="C35" s="40"/>
      <c r="D35" s="40"/>
      <c r="E35" s="40"/>
      <c r="F35" s="40"/>
      <c r="G35" s="40"/>
      <c r="H35" s="40"/>
      <c r="I35" s="40"/>
      <c r="J35" s="41"/>
    </row>
    <row r="36" spans="1:10" ht="15.75" hidden="1" customHeight="1" x14ac:dyDescent="0.25">
      <c r="A36" s="39"/>
      <c r="B36" s="40"/>
      <c r="C36" s="40"/>
      <c r="D36" s="40"/>
      <c r="E36" s="40"/>
      <c r="F36" s="40"/>
      <c r="G36" s="40"/>
      <c r="H36" s="40"/>
      <c r="I36" s="40"/>
      <c r="J36" s="41"/>
    </row>
    <row r="37" spans="1:10" ht="15.75" hidden="1" customHeight="1" x14ac:dyDescent="0.25">
      <c r="A37" s="39"/>
      <c r="B37" s="40"/>
      <c r="C37" s="40"/>
      <c r="D37" s="40"/>
      <c r="E37" s="40"/>
      <c r="F37" s="40"/>
      <c r="G37" s="40"/>
      <c r="H37" s="40"/>
      <c r="I37" s="40"/>
      <c r="J37" s="41"/>
    </row>
    <row r="38" spans="1:10" hidden="1" x14ac:dyDescent="0.25">
      <c r="A38" s="39"/>
      <c r="B38" s="59"/>
      <c r="C38" s="59">
        <v>0.12</v>
      </c>
      <c r="D38" s="59" t="e">
        <f>((NPV(C38,$H$15:$R$15)+(#REF!*(1+#REF!)/(C38-#REF!))/(1+C38)^(2040-2020))/$D$48)/$C$49-1</f>
        <v>#REF!</v>
      </c>
      <c r="E38" s="40"/>
      <c r="F38" s="40"/>
      <c r="G38" s="40"/>
      <c r="H38" s="40"/>
      <c r="I38" s="40"/>
      <c r="J38" s="41"/>
    </row>
    <row r="39" spans="1:10" hidden="1" x14ac:dyDescent="0.25">
      <c r="A39" s="39"/>
      <c r="B39" s="59"/>
      <c r="C39" s="59">
        <v>0.14000000000000001</v>
      </c>
      <c r="D39" s="59" t="e">
        <f>((NPV(C39,$H$15:$R$15)+(#REF!*(1+#REF!)/(C39-#REF!))/(1+C39)^(2040-2020))/$D$48)/$C$49-1</f>
        <v>#REF!</v>
      </c>
      <c r="E39" s="40"/>
      <c r="F39" s="40"/>
      <c r="G39" s="40"/>
      <c r="H39" s="40"/>
      <c r="I39" s="40"/>
      <c r="J39" s="41"/>
    </row>
    <row r="40" spans="1:10" hidden="1" x14ac:dyDescent="0.25">
      <c r="A40" s="39"/>
      <c r="B40" s="59"/>
      <c r="C40" s="59">
        <v>0.16</v>
      </c>
      <c r="D40" s="59" t="e">
        <f>((NPV(C40,$H$15:$R$15)+(#REF!*(1+#REF!)/(C40-#REF!))/(1+C40)^(2040-2020))/$D$48)/$C$49-1</f>
        <v>#REF!</v>
      </c>
      <c r="E40" s="40"/>
      <c r="F40" s="40"/>
      <c r="G40" s="40"/>
      <c r="H40" s="40"/>
      <c r="I40" s="40"/>
      <c r="J40" s="41"/>
    </row>
    <row r="41" spans="1:10" hidden="1" x14ac:dyDescent="0.25">
      <c r="A41" s="39"/>
      <c r="B41" s="59"/>
      <c r="C41" s="59">
        <v>0.18</v>
      </c>
      <c r="D41" s="59" t="e">
        <f>((NPV(C41,$H$15:$R$15)+(#REF!*(1+#REF!)/(C41-#REF!))/(1+C41)^(2040-2020))/$D$48)/$C$49-1</f>
        <v>#REF!</v>
      </c>
      <c r="E41" s="40"/>
      <c r="F41" s="40"/>
      <c r="G41" s="40"/>
      <c r="H41" s="40"/>
      <c r="I41" s="40"/>
      <c r="J41" s="41"/>
    </row>
    <row r="42" spans="1:10" hidden="1" x14ac:dyDescent="0.25">
      <c r="A42" s="39"/>
      <c r="B42" s="59"/>
      <c r="C42" s="59">
        <v>0.2</v>
      </c>
      <c r="D42" s="59" t="e">
        <f>((NPV(C42,$H$15:$R$15)+(#REF!*(1+#REF!)/(C42-#REF!))/(1+C42)^(2040-2020))/$D$48)/$C$49-1</f>
        <v>#REF!</v>
      </c>
      <c r="E42" s="40"/>
      <c r="F42" s="40"/>
      <c r="G42" s="40"/>
      <c r="H42" s="40"/>
      <c r="I42" s="40"/>
      <c r="J42" s="41"/>
    </row>
    <row r="43" spans="1:10" x14ac:dyDescent="0.25">
      <c r="A43" s="39"/>
      <c r="B43" s="40"/>
      <c r="C43" s="40"/>
      <c r="D43" s="40"/>
      <c r="E43" s="40"/>
      <c r="F43" s="40"/>
      <c r="G43" s="40"/>
      <c r="H43" s="40"/>
      <c r="I43" s="40"/>
      <c r="J43" s="41"/>
    </row>
    <row r="44" spans="1:10" ht="16.5" thickBot="1" x14ac:dyDescent="0.3">
      <c r="A44" s="43"/>
      <c r="B44" s="44" t="s">
        <v>28</v>
      </c>
      <c r="C44" s="44"/>
      <c r="D44" s="60">
        <f>D28+D32</f>
        <v>9.0000000000000011E-2</v>
      </c>
      <c r="E44" s="44"/>
      <c r="F44" s="44"/>
      <c r="G44" s="44"/>
      <c r="H44" s="44"/>
      <c r="I44" s="44"/>
      <c r="J44" s="45"/>
    </row>
    <row r="46" spans="1:10" x14ac:dyDescent="0.25">
      <c r="A46" s="28"/>
      <c r="B46" s="29"/>
      <c r="C46" s="30">
        <v>44414</v>
      </c>
      <c r="D46" s="31" t="s">
        <v>3</v>
      </c>
      <c r="E46" s="32"/>
      <c r="F46" s="33" t="s">
        <v>14</v>
      </c>
      <c r="G46" s="34"/>
      <c r="H46" s="34" t="s">
        <v>15</v>
      </c>
      <c r="I46" s="34"/>
    </row>
    <row r="47" spans="1:10" x14ac:dyDescent="0.25">
      <c r="A47" s="61" t="s">
        <v>0</v>
      </c>
      <c r="B47" s="62" t="s">
        <v>6</v>
      </c>
      <c r="C47" s="63">
        <f>C48*C49</f>
        <v>81469.735119999998</v>
      </c>
      <c r="D47" s="64">
        <f>SUM(H19:R19)</f>
        <v>134964.37353543029</v>
      </c>
      <c r="E47" s="62" t="s">
        <v>39</v>
      </c>
    </row>
    <row r="48" spans="1:10" x14ac:dyDescent="0.25">
      <c r="A48" s="61"/>
      <c r="B48" s="62" t="s">
        <v>30</v>
      </c>
      <c r="C48" s="63">
        <v>412.04599999999999</v>
      </c>
      <c r="D48" s="63">
        <f>C48*(1)</f>
        <v>412.04599999999999</v>
      </c>
      <c r="E48" s="62"/>
    </row>
    <row r="49" spans="1:8" x14ac:dyDescent="0.25">
      <c r="A49" s="61"/>
      <c r="B49" s="62" t="s">
        <v>32</v>
      </c>
      <c r="C49" s="65">
        <v>197.72</v>
      </c>
      <c r="D49" s="65">
        <f>D47/(D48)</f>
        <v>327.5468601453</v>
      </c>
      <c r="E49" s="62" t="s">
        <v>39</v>
      </c>
      <c r="F49" s="12"/>
      <c r="G49" s="12"/>
      <c r="H49" s="12"/>
    </row>
    <row r="50" spans="1:8" x14ac:dyDescent="0.25">
      <c r="A50" s="61"/>
      <c r="B50" s="62" t="s">
        <v>2</v>
      </c>
      <c r="C50" s="62"/>
      <c r="D50" s="66">
        <f>D49/C49-1</f>
        <v>0.65661976605957917</v>
      </c>
      <c r="E50" s="62"/>
      <c r="F50" s="5"/>
    </row>
    <row r="51" spans="1:8" x14ac:dyDescent="0.25">
      <c r="A51" s="61"/>
      <c r="B51" s="62"/>
      <c r="C51" s="62"/>
      <c r="D51" s="67"/>
      <c r="E51" s="62"/>
      <c r="F51" s="5"/>
    </row>
    <row r="52" spans="1:8" x14ac:dyDescent="0.25">
      <c r="A52" s="62"/>
      <c r="B52" s="62"/>
      <c r="C52" s="62"/>
      <c r="D52" s="67"/>
      <c r="E52" s="67"/>
    </row>
    <row r="53" spans="1:8" x14ac:dyDescent="0.25">
      <c r="A53" s="67" t="s">
        <v>4</v>
      </c>
      <c r="B53" s="62"/>
      <c r="C53" s="69">
        <f>D44</f>
        <v>9.0000000000000011E-2</v>
      </c>
      <c r="D53" s="68"/>
      <c r="E53" s="62"/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D50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C30">
    <cfRule type="colorScale" priority="1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38:D42">
    <cfRule type="colorScale" priority="7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3"/>
  <sheetViews>
    <sheetView topLeftCell="A13" zoomScale="80" zoomScaleNormal="80" workbookViewId="0">
      <selection activeCell="C50" sqref="C50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6" width="10.625" style="1"/>
    <col min="17" max="18" width="10.625" style="1" customWidth="1"/>
    <col min="19" max="16384" width="10.625" style="1"/>
  </cols>
  <sheetData>
    <row r="2" spans="1:28" ht="26.25" x14ac:dyDescent="0.4">
      <c r="B2" s="46" t="s">
        <v>29</v>
      </c>
    </row>
    <row r="4" spans="1:28" x14ac:dyDescent="0.25">
      <c r="B4" s="35" t="s">
        <v>33</v>
      </c>
    </row>
    <row r="6" spans="1:28" x14ac:dyDescent="0.25">
      <c r="B6" s="1" t="s">
        <v>35</v>
      </c>
      <c r="I6" s="1" t="s">
        <v>45</v>
      </c>
    </row>
    <row r="9" spans="1:28" s="11" customFormat="1" x14ac:dyDescent="0.25">
      <c r="H9" s="13" t="s">
        <v>16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x14ac:dyDescent="0.25">
      <c r="A10" s="7"/>
      <c r="B10" s="7"/>
      <c r="C10" s="15">
        <v>2016</v>
      </c>
      <c r="D10" s="15">
        <v>2017</v>
      </c>
      <c r="E10" s="15">
        <v>2018</v>
      </c>
      <c r="F10" s="15">
        <v>2019</v>
      </c>
      <c r="G10" s="15">
        <v>2020</v>
      </c>
      <c r="H10" s="75">
        <v>2021</v>
      </c>
      <c r="I10" s="75">
        <v>2022</v>
      </c>
      <c r="J10" s="75">
        <v>2023</v>
      </c>
      <c r="K10" s="75">
        <v>2024</v>
      </c>
      <c r="L10" s="75">
        <v>2025</v>
      </c>
      <c r="M10" s="75">
        <v>2026</v>
      </c>
      <c r="N10" s="75">
        <v>2027</v>
      </c>
      <c r="O10" s="75">
        <v>2028</v>
      </c>
      <c r="P10" s="75">
        <v>2029</v>
      </c>
      <c r="Q10" s="75">
        <v>2030</v>
      </c>
      <c r="R10" s="74" t="s">
        <v>34</v>
      </c>
    </row>
    <row r="11" spans="1:28" x14ac:dyDescent="0.25">
      <c r="A11" s="8"/>
      <c r="B11" s="7" t="s">
        <v>5</v>
      </c>
      <c r="C11" s="16">
        <v>122416</v>
      </c>
      <c r="D11" s="16">
        <v>126419</v>
      </c>
      <c r="E11" s="16">
        <v>132283</v>
      </c>
      <c r="F11" s="16">
        <v>142369</v>
      </c>
      <c r="G11" s="16">
        <v>140455</v>
      </c>
      <c r="H11" s="20">
        <f t="shared" ref="H11:L11" si="0">G11*(1+H12)</f>
        <v>142561.82499999998</v>
      </c>
      <c r="I11" s="20">
        <f t="shared" si="0"/>
        <v>146125.87062499998</v>
      </c>
      <c r="J11" s="20">
        <f t="shared" si="0"/>
        <v>149779.01739062497</v>
      </c>
      <c r="K11" s="20">
        <f t="shared" si="0"/>
        <v>143787.85669499997</v>
      </c>
      <c r="L11" s="20">
        <f t="shared" si="0"/>
        <v>146663.61382889998</v>
      </c>
      <c r="M11" s="20">
        <f>L11*(1+M12)</f>
        <v>149596.88610547798</v>
      </c>
      <c r="N11" s="20">
        <f t="shared" ref="N11:R11" si="1">M11*(1+N12)</f>
        <v>146604.94838336844</v>
      </c>
      <c r="O11" s="20">
        <f t="shared" si="1"/>
        <v>150270.07209295264</v>
      </c>
      <c r="P11" s="20">
        <f t="shared" si="1"/>
        <v>152524.12317434693</v>
      </c>
      <c r="Q11" s="20">
        <f t="shared" si="1"/>
        <v>154811.98502196211</v>
      </c>
      <c r="R11" s="20">
        <f t="shared" si="1"/>
        <v>156360.10487218175</v>
      </c>
    </row>
    <row r="12" spans="1:28" x14ac:dyDescent="0.25">
      <c r="A12" s="8"/>
      <c r="B12" s="7" t="s">
        <v>1</v>
      </c>
      <c r="C12" s="17"/>
      <c r="D12" s="17">
        <f>D11/C11-1</f>
        <v>3.2699973859626086E-2</v>
      </c>
      <c r="E12" s="17">
        <f>E11/D11-1</f>
        <v>4.6385432569471252E-2</v>
      </c>
      <c r="F12" s="17">
        <f>F11/E11-1</f>
        <v>7.6245624910230347E-2</v>
      </c>
      <c r="G12" s="17">
        <f>G11/F11-1</f>
        <v>-1.3443937935927019E-2</v>
      </c>
      <c r="H12" s="22">
        <v>1.4999999999999999E-2</v>
      </c>
      <c r="I12" s="22">
        <v>2.5000000000000001E-2</v>
      </c>
      <c r="J12" s="22">
        <v>2.5000000000000001E-2</v>
      </c>
      <c r="K12" s="22">
        <v>-0.04</v>
      </c>
      <c r="L12" s="22">
        <v>0.02</v>
      </c>
      <c r="M12" s="22">
        <v>0.02</v>
      </c>
      <c r="N12" s="22">
        <v>-0.02</v>
      </c>
      <c r="O12" s="22">
        <v>2.5000000000000001E-2</v>
      </c>
      <c r="P12" s="22">
        <v>1.4999999999999999E-2</v>
      </c>
      <c r="Q12" s="22">
        <v>1.4999999999999999E-2</v>
      </c>
      <c r="R12" s="22">
        <v>0.01</v>
      </c>
    </row>
    <row r="13" spans="1:28" ht="15.95" customHeight="1" x14ac:dyDescent="0.25">
      <c r="A13" s="8"/>
      <c r="B13" s="7" t="s">
        <v>37</v>
      </c>
      <c r="C13" s="17">
        <f>C14/C11</f>
        <v>8.4073977257874785E-2</v>
      </c>
      <c r="D13" s="17">
        <f t="shared" ref="D13:G13" si="2">D14/D11</f>
        <v>8.0272743812243419E-2</v>
      </c>
      <c r="E13" s="17">
        <f t="shared" si="2"/>
        <v>7.8611764172267035E-2</v>
      </c>
      <c r="F13" s="17">
        <f t="shared" si="2"/>
        <v>7.7804859203899721E-2</v>
      </c>
      <c r="G13" s="17">
        <f t="shared" si="2"/>
        <v>6.8377772240219292E-2</v>
      </c>
      <c r="H13" s="21">
        <v>0.08</v>
      </c>
      <c r="I13" s="21">
        <v>0.02</v>
      </c>
      <c r="J13" s="21">
        <v>0.08</v>
      </c>
      <c r="K13" s="21">
        <v>0.08</v>
      </c>
      <c r="L13" s="21">
        <v>0.08</v>
      </c>
      <c r="M13" s="21">
        <v>0.08</v>
      </c>
      <c r="N13" s="21">
        <v>0.08</v>
      </c>
      <c r="O13" s="21">
        <v>0.08</v>
      </c>
      <c r="P13" s="21">
        <v>0.08</v>
      </c>
      <c r="Q13" s="21">
        <v>0.08</v>
      </c>
      <c r="R13" s="21">
        <v>0.08</v>
      </c>
    </row>
    <row r="14" spans="1:28" ht="17.100000000000001" customHeight="1" x14ac:dyDescent="0.25">
      <c r="A14" s="8"/>
      <c r="B14" s="7" t="s">
        <v>36</v>
      </c>
      <c r="C14" s="16">
        <v>10292</v>
      </c>
      <c r="D14" s="16">
        <v>10148</v>
      </c>
      <c r="E14" s="16">
        <v>10399</v>
      </c>
      <c r="F14" s="16">
        <v>11077</v>
      </c>
      <c r="G14" s="16">
        <v>9604</v>
      </c>
      <c r="H14" s="20">
        <f>H11*H13</f>
        <v>11404.945999999998</v>
      </c>
      <c r="I14" s="20">
        <f t="shared" ref="I14:R14" si="3">I11*I13</f>
        <v>2922.5174124999999</v>
      </c>
      <c r="J14" s="20">
        <f t="shared" si="3"/>
        <v>11982.321391249998</v>
      </c>
      <c r="K14" s="20">
        <f t="shared" si="3"/>
        <v>11503.028535599997</v>
      </c>
      <c r="L14" s="20">
        <f t="shared" si="3"/>
        <v>11733.089106311998</v>
      </c>
      <c r="M14" s="20">
        <f t="shared" si="3"/>
        <v>11967.750888438239</v>
      </c>
      <c r="N14" s="20">
        <f t="shared" si="3"/>
        <v>11728.395870669476</v>
      </c>
      <c r="O14" s="20">
        <f>O11*O13</f>
        <v>12021.605767436211</v>
      </c>
      <c r="P14" s="20">
        <f t="shared" si="3"/>
        <v>12201.929853947755</v>
      </c>
      <c r="Q14" s="20">
        <f t="shared" si="3"/>
        <v>12384.958801756969</v>
      </c>
      <c r="R14" s="20">
        <f t="shared" si="3"/>
        <v>12508.80838977454</v>
      </c>
    </row>
    <row r="15" spans="1:28" ht="16.5" thickBot="1" x14ac:dyDescent="0.3">
      <c r="A15" s="19">
        <v>0.3</v>
      </c>
      <c r="B15" s="7" t="s">
        <v>17</v>
      </c>
      <c r="C15" s="18"/>
      <c r="D15" s="16"/>
      <c r="E15" s="16">
        <v>7462</v>
      </c>
      <c r="F15" s="16">
        <v>7914</v>
      </c>
      <c r="G15" s="16">
        <v>6807</v>
      </c>
      <c r="H15" s="20">
        <f>H14*(1-$A$15)</f>
        <v>7983.4621999999981</v>
      </c>
      <c r="I15" s="20">
        <f t="shared" ref="I15:Q15" si="4">I14*(1-$A$15)</f>
        <v>2045.7621887499997</v>
      </c>
      <c r="J15" s="20">
        <f t="shared" si="4"/>
        <v>8387.6249738749975</v>
      </c>
      <c r="K15" s="20">
        <f t="shared" si="4"/>
        <v>8052.1199749199968</v>
      </c>
      <c r="L15" s="20">
        <f t="shared" si="4"/>
        <v>8213.162374418398</v>
      </c>
      <c r="M15" s="20">
        <f t="shared" si="4"/>
        <v>8377.4256219067665</v>
      </c>
      <c r="N15" s="20">
        <f t="shared" si="4"/>
        <v>8209.8771094686326</v>
      </c>
      <c r="O15" s="20">
        <f t="shared" si="4"/>
        <v>8415.1240372053471</v>
      </c>
      <c r="P15" s="20">
        <f t="shared" si="4"/>
        <v>8541.3508977634283</v>
      </c>
      <c r="Q15" s="20">
        <f t="shared" si="4"/>
        <v>8669.4711612298779</v>
      </c>
      <c r="R15" s="20">
        <f>R14*(1-$A$15)</f>
        <v>8756.1658728421771</v>
      </c>
    </row>
    <row r="16" spans="1:28" ht="32.25" thickBot="1" x14ac:dyDescent="0.3">
      <c r="A16" s="23" t="s">
        <v>7</v>
      </c>
      <c r="B16" s="24"/>
      <c r="C16" s="25"/>
      <c r="D16" s="25"/>
      <c r="E16" s="26">
        <f>E15/E14</f>
        <v>0.71756899701894417</v>
      </c>
      <c r="F16" s="26">
        <f>F15/F14</f>
        <v>0.71445337185158442</v>
      </c>
      <c r="G16" s="27">
        <f>G15/G14</f>
        <v>0.70876718034152442</v>
      </c>
    </row>
    <row r="17" spans="1:18" x14ac:dyDescent="0.25">
      <c r="A17" s="3"/>
      <c r="G17" s="9"/>
      <c r="H17" s="9"/>
      <c r="I17" s="9"/>
      <c r="J17" s="9"/>
      <c r="K17" s="9"/>
      <c r="L17" s="9"/>
      <c r="M17" s="9"/>
      <c r="N17" s="9"/>
      <c r="O17" s="9"/>
      <c r="P17" s="4"/>
      <c r="Q17" s="4"/>
      <c r="R17" s="4"/>
    </row>
    <row r="18" spans="1:18" ht="16.5" thickBot="1" x14ac:dyDescent="0.3">
      <c r="A18" s="3"/>
      <c r="G18" s="9"/>
      <c r="I18" s="9"/>
      <c r="J18" s="9"/>
      <c r="K18" s="9"/>
      <c r="L18" s="9"/>
      <c r="M18" s="9"/>
      <c r="N18" s="9"/>
      <c r="O18" s="9"/>
      <c r="P18" s="4"/>
      <c r="Q18" s="4"/>
      <c r="R18" s="4"/>
    </row>
    <row r="19" spans="1:18" ht="16.5" thickBot="1" x14ac:dyDescent="0.3">
      <c r="A19" s="3"/>
      <c r="F19" s="70" t="s">
        <v>31</v>
      </c>
      <c r="G19" s="71"/>
      <c r="H19" s="72">
        <f>H15/(1+$C$53)</f>
        <v>7324.27724770642</v>
      </c>
      <c r="I19" s="72">
        <f>I15/(1+$C$53)^2</f>
        <v>1721.8771052520826</v>
      </c>
      <c r="J19" s="72">
        <f>J15/(1+$C$53)^3</f>
        <v>6476.7854417738881</v>
      </c>
      <c r="K19" s="72">
        <f>K15/(1+$C$53)^4</f>
        <v>5704.3247927549828</v>
      </c>
      <c r="L19" s="72">
        <f>L15/(1+$C$53)^5</f>
        <v>5337.992007899159</v>
      </c>
      <c r="M19" s="72">
        <f>M15/(1+$C$53)^6</f>
        <v>4995.1851817037996</v>
      </c>
      <c r="N19" s="72">
        <f>N15/(1+$C$53)^7</f>
        <v>4491.0839248346101</v>
      </c>
      <c r="O19" s="72">
        <f>O15/(1+$C$53)^8</f>
        <v>4223.2669935371323</v>
      </c>
      <c r="P19" s="72">
        <f>P15/(1+$C$53)^9</f>
        <v>3932.6752279267794</v>
      </c>
      <c r="Q19" s="72">
        <f>Q15/(1+$C$53)^10</f>
        <v>3662.0783085740181</v>
      </c>
      <c r="R19" s="73">
        <f>(R15/(C53-R12))/(1+C53)^10</f>
        <v>46233.738645746969</v>
      </c>
    </row>
    <row r="20" spans="1:18" x14ac:dyDescent="0.25">
      <c r="A20" s="3"/>
      <c r="C20" s="1" t="s">
        <v>38</v>
      </c>
      <c r="G20" s="9"/>
      <c r="H20" s="10"/>
      <c r="I20" s="9"/>
      <c r="J20" s="9"/>
      <c r="K20" s="9"/>
      <c r="L20" s="9"/>
      <c r="M20" s="9"/>
      <c r="N20" s="9"/>
      <c r="O20" s="9"/>
      <c r="P20" s="4"/>
      <c r="Q20" s="4"/>
      <c r="R20" s="4"/>
    </row>
    <row r="21" spans="1:18" x14ac:dyDescent="0.25">
      <c r="A21" s="3"/>
      <c r="P21" s="4"/>
      <c r="Q21" s="4"/>
      <c r="R21" s="4"/>
    </row>
    <row r="22" spans="1:18" ht="16.5" thickBot="1" x14ac:dyDescent="0.3">
      <c r="P22" s="4"/>
      <c r="Q22" s="4"/>
      <c r="R22" s="4"/>
    </row>
    <row r="23" spans="1:18" x14ac:dyDescent="0.25">
      <c r="A23" s="47" t="s">
        <v>8</v>
      </c>
      <c r="B23" s="48"/>
      <c r="C23" s="48"/>
      <c r="D23" s="49"/>
      <c r="E23" s="37"/>
      <c r="F23" s="48"/>
      <c r="G23" s="37"/>
      <c r="H23" s="37"/>
      <c r="I23" s="37"/>
      <c r="J23" s="38"/>
    </row>
    <row r="24" spans="1:18" x14ac:dyDescent="0.25">
      <c r="A24" s="50"/>
      <c r="B24" s="51"/>
      <c r="C24" s="51"/>
      <c r="D24" s="52"/>
      <c r="E24" s="51"/>
      <c r="F24" s="51"/>
      <c r="G24" s="40"/>
      <c r="H24" s="40"/>
      <c r="I24" s="40"/>
      <c r="J24" s="41"/>
    </row>
    <row r="25" spans="1:18" ht="16.5" thickBot="1" x14ac:dyDescent="0.3">
      <c r="A25" s="50" t="s">
        <v>9</v>
      </c>
      <c r="B25" s="51" t="s">
        <v>40</v>
      </c>
      <c r="C25" s="51"/>
      <c r="D25" s="53">
        <v>8.5000000000000006E-2</v>
      </c>
      <c r="E25" s="40"/>
      <c r="F25" s="51" t="s">
        <v>43</v>
      </c>
      <c r="G25" s="40"/>
      <c r="H25" s="40"/>
      <c r="I25" s="40"/>
      <c r="J25" s="41"/>
    </row>
    <row r="26" spans="1:18" ht="16.5" thickBot="1" x14ac:dyDescent="0.3">
      <c r="A26" s="50"/>
      <c r="B26" s="51"/>
      <c r="C26" s="51"/>
      <c r="D26" s="53"/>
      <c r="E26" s="40"/>
      <c r="F26" s="51"/>
      <c r="G26" s="40"/>
      <c r="H26" s="40"/>
      <c r="I26" s="40"/>
      <c r="J26" s="41"/>
      <c r="M26" s="36"/>
      <c r="N26" s="37"/>
      <c r="O26" s="38"/>
    </row>
    <row r="27" spans="1:18" x14ac:dyDescent="0.25">
      <c r="A27" s="50"/>
      <c r="B27" s="51"/>
      <c r="C27" s="51"/>
      <c r="D27" s="54"/>
      <c r="E27" s="40"/>
      <c r="F27" s="51"/>
      <c r="G27" s="40"/>
      <c r="H27" s="40"/>
      <c r="I27" s="40"/>
      <c r="J27" s="41"/>
      <c r="M27" s="36" t="s">
        <v>18</v>
      </c>
      <c r="N27" s="37" t="s">
        <v>20</v>
      </c>
      <c r="O27" s="38"/>
    </row>
    <row r="28" spans="1:18" x14ac:dyDescent="0.25">
      <c r="A28" s="50"/>
      <c r="B28" s="51" t="s">
        <v>10</v>
      </c>
      <c r="C28" s="51"/>
      <c r="D28" s="55">
        <v>8.5000000000000006E-2</v>
      </c>
      <c r="E28" s="40"/>
      <c r="F28" s="51"/>
      <c r="G28" s="40"/>
      <c r="H28" s="40"/>
      <c r="I28" s="40"/>
      <c r="J28" s="41"/>
      <c r="M28" s="39" t="s">
        <v>19</v>
      </c>
      <c r="N28" s="40" t="s">
        <v>26</v>
      </c>
      <c r="O28" s="41"/>
      <c r="R28" s="6"/>
    </row>
    <row r="29" spans="1:18" x14ac:dyDescent="0.25">
      <c r="A29" s="50"/>
      <c r="B29" s="51"/>
      <c r="C29" s="51"/>
      <c r="D29" s="52"/>
      <c r="E29" s="40"/>
      <c r="F29" s="51"/>
      <c r="G29" s="40"/>
      <c r="H29" s="40"/>
      <c r="I29" s="40"/>
      <c r="J29" s="41"/>
      <c r="M29" s="39" t="s">
        <v>21</v>
      </c>
      <c r="N29" s="42" t="s">
        <v>23</v>
      </c>
      <c r="O29" s="41"/>
      <c r="R29" s="6"/>
    </row>
    <row r="30" spans="1:18" x14ac:dyDescent="0.25">
      <c r="A30" s="39"/>
      <c r="B30" s="40"/>
      <c r="C30" s="56"/>
      <c r="D30" s="40"/>
      <c r="E30" s="51"/>
      <c r="F30" s="51"/>
      <c r="G30" s="40"/>
      <c r="H30" s="40"/>
      <c r="I30" s="40"/>
      <c r="J30" s="41"/>
      <c r="M30" s="39" t="s">
        <v>22</v>
      </c>
      <c r="N30" s="40" t="s">
        <v>25</v>
      </c>
      <c r="O30" s="41"/>
      <c r="P30" s="2"/>
      <c r="Q30" s="2"/>
      <c r="R30" s="2"/>
    </row>
    <row r="31" spans="1:18" ht="16.5" thickBot="1" x14ac:dyDescent="0.3">
      <c r="A31" s="39"/>
      <c r="B31" s="40"/>
      <c r="C31" s="40"/>
      <c r="D31" s="40"/>
      <c r="E31" s="40"/>
      <c r="F31" s="40"/>
      <c r="G31" s="40"/>
      <c r="H31" s="40"/>
      <c r="I31" s="40"/>
      <c r="J31" s="41"/>
      <c r="M31" s="43" t="s">
        <v>24</v>
      </c>
      <c r="N31" s="44" t="s">
        <v>27</v>
      </c>
      <c r="O31" s="45"/>
    </row>
    <row r="32" spans="1:18" x14ac:dyDescent="0.25">
      <c r="A32" s="50" t="s">
        <v>11</v>
      </c>
      <c r="B32" s="51" t="s">
        <v>12</v>
      </c>
      <c r="C32" s="57"/>
      <c r="D32" s="42">
        <v>5.0000000000000001E-3</v>
      </c>
      <c r="E32" s="40"/>
      <c r="F32" s="40" t="s">
        <v>41</v>
      </c>
      <c r="G32" s="40"/>
      <c r="H32" s="40"/>
      <c r="I32" s="40"/>
      <c r="J32" s="41"/>
    </row>
    <row r="33" spans="1:10" ht="15.75" hidden="1" customHeight="1" x14ac:dyDescent="0.25">
      <c r="A33" s="39"/>
      <c r="B33" s="40"/>
      <c r="C33" s="40"/>
      <c r="D33" s="40"/>
      <c r="E33" s="40"/>
      <c r="F33" s="40"/>
      <c r="G33" s="40"/>
      <c r="H33" s="40"/>
      <c r="I33" s="40"/>
      <c r="J33" s="41"/>
    </row>
    <row r="34" spans="1:10" ht="15.75" hidden="1" customHeight="1" x14ac:dyDescent="0.25">
      <c r="A34" s="39"/>
      <c r="B34" s="40" t="s">
        <v>13</v>
      </c>
      <c r="C34" s="40"/>
      <c r="D34" s="58">
        <v>0.08</v>
      </c>
      <c r="E34" s="40"/>
      <c r="F34" s="40"/>
      <c r="G34" s="40"/>
      <c r="H34" s="40"/>
      <c r="I34" s="40"/>
      <c r="J34" s="41"/>
    </row>
    <row r="35" spans="1:10" ht="15.75" hidden="1" customHeight="1" x14ac:dyDescent="0.25">
      <c r="A35" s="39"/>
      <c r="B35" s="40"/>
      <c r="C35" s="40"/>
      <c r="D35" s="40"/>
      <c r="E35" s="40"/>
      <c r="F35" s="40"/>
      <c r="G35" s="40"/>
      <c r="H35" s="40"/>
      <c r="I35" s="40"/>
      <c r="J35" s="41"/>
    </row>
    <row r="36" spans="1:10" ht="15.75" hidden="1" customHeight="1" x14ac:dyDescent="0.25">
      <c r="A36" s="39"/>
      <c r="B36" s="40"/>
      <c r="C36" s="40"/>
      <c r="D36" s="40"/>
      <c r="E36" s="40"/>
      <c r="F36" s="40"/>
      <c r="G36" s="40"/>
      <c r="H36" s="40"/>
      <c r="I36" s="40"/>
      <c r="J36" s="41"/>
    </row>
    <row r="37" spans="1:10" ht="15.75" hidden="1" customHeight="1" x14ac:dyDescent="0.25">
      <c r="A37" s="39"/>
      <c r="B37" s="40"/>
      <c r="C37" s="40"/>
      <c r="D37" s="40"/>
      <c r="E37" s="40"/>
      <c r="F37" s="40"/>
      <c r="G37" s="40"/>
      <c r="H37" s="40"/>
      <c r="I37" s="40"/>
      <c r="J37" s="41"/>
    </row>
    <row r="38" spans="1:10" hidden="1" x14ac:dyDescent="0.25">
      <c r="A38" s="39"/>
      <c r="B38" s="59"/>
      <c r="C38" s="59">
        <v>0.12</v>
      </c>
      <c r="D38" s="59" t="e">
        <f>((NPV(C38,$H$15:$R$15)+(#REF!*(1+#REF!)/(C38-#REF!))/(1+C38)^(2040-2020))/$D$48)/$C$49-1</f>
        <v>#REF!</v>
      </c>
      <c r="E38" s="40"/>
      <c r="F38" s="40"/>
      <c r="G38" s="40"/>
      <c r="H38" s="40"/>
      <c r="I38" s="40"/>
      <c r="J38" s="41"/>
    </row>
    <row r="39" spans="1:10" hidden="1" x14ac:dyDescent="0.25">
      <c r="A39" s="39"/>
      <c r="B39" s="59"/>
      <c r="C39" s="59">
        <v>0.14000000000000001</v>
      </c>
      <c r="D39" s="59" t="e">
        <f>((NPV(C39,$H$15:$R$15)+(#REF!*(1+#REF!)/(C39-#REF!))/(1+C39)^(2040-2020))/$D$48)/$C$49-1</f>
        <v>#REF!</v>
      </c>
      <c r="E39" s="40"/>
      <c r="F39" s="40"/>
      <c r="G39" s="40"/>
      <c r="H39" s="40"/>
      <c r="I39" s="40"/>
      <c r="J39" s="41"/>
    </row>
    <row r="40" spans="1:10" hidden="1" x14ac:dyDescent="0.25">
      <c r="A40" s="39"/>
      <c r="B40" s="59"/>
      <c r="C40" s="59">
        <v>0.16</v>
      </c>
      <c r="D40" s="59" t="e">
        <f>((NPV(C40,$H$15:$R$15)+(#REF!*(1+#REF!)/(C40-#REF!))/(1+C40)^(2040-2020))/$D$48)/$C$49-1</f>
        <v>#REF!</v>
      </c>
      <c r="E40" s="40"/>
      <c r="F40" s="40"/>
      <c r="G40" s="40"/>
      <c r="H40" s="40"/>
      <c r="I40" s="40"/>
      <c r="J40" s="41"/>
    </row>
    <row r="41" spans="1:10" hidden="1" x14ac:dyDescent="0.25">
      <c r="A41" s="39"/>
      <c r="B41" s="59"/>
      <c r="C41" s="59">
        <v>0.18</v>
      </c>
      <c r="D41" s="59" t="e">
        <f>((NPV(C41,$H$15:$R$15)+(#REF!*(1+#REF!)/(C41-#REF!))/(1+C41)^(2040-2020))/$D$48)/$C$49-1</f>
        <v>#REF!</v>
      </c>
      <c r="E41" s="40"/>
      <c r="F41" s="40"/>
      <c r="G41" s="40"/>
      <c r="H41" s="40"/>
      <c r="I41" s="40"/>
      <c r="J41" s="41"/>
    </row>
    <row r="42" spans="1:10" hidden="1" x14ac:dyDescent="0.25">
      <c r="A42" s="39"/>
      <c r="B42" s="59"/>
      <c r="C42" s="59">
        <v>0.2</v>
      </c>
      <c r="D42" s="59" t="e">
        <f>((NPV(C42,$H$15:$R$15)+(#REF!*(1+#REF!)/(C42-#REF!))/(1+C42)^(2040-2020))/$D$48)/$C$49-1</f>
        <v>#REF!</v>
      </c>
      <c r="E42" s="40"/>
      <c r="F42" s="40"/>
      <c r="G42" s="40"/>
      <c r="H42" s="40"/>
      <c r="I42" s="40"/>
      <c r="J42" s="41"/>
    </row>
    <row r="43" spans="1:10" x14ac:dyDescent="0.25">
      <c r="A43" s="39"/>
      <c r="B43" s="40"/>
      <c r="C43" s="40"/>
      <c r="D43" s="40"/>
      <c r="E43" s="40"/>
      <c r="F43" s="40" t="s">
        <v>42</v>
      </c>
      <c r="G43" s="40"/>
      <c r="H43" s="40"/>
      <c r="I43" s="40"/>
      <c r="J43" s="41"/>
    </row>
    <row r="44" spans="1:10" ht="16.5" thickBot="1" x14ac:dyDescent="0.3">
      <c r="A44" s="43"/>
      <c r="B44" s="44" t="s">
        <v>28</v>
      </c>
      <c r="C44" s="44"/>
      <c r="D44" s="60">
        <f>D28+D32</f>
        <v>9.0000000000000011E-2</v>
      </c>
      <c r="E44" s="44"/>
      <c r="F44" s="44"/>
      <c r="G44" s="44"/>
      <c r="H44" s="44"/>
      <c r="I44" s="44"/>
      <c r="J44" s="45"/>
    </row>
    <row r="46" spans="1:10" x14ac:dyDescent="0.25">
      <c r="A46" s="28"/>
      <c r="B46" s="29"/>
      <c r="C46" s="30">
        <v>44414</v>
      </c>
      <c r="D46" s="31" t="s">
        <v>3</v>
      </c>
      <c r="E46" s="32"/>
      <c r="F46" s="33" t="s">
        <v>14</v>
      </c>
      <c r="G46" s="34"/>
      <c r="H46" s="34" t="s">
        <v>15</v>
      </c>
      <c r="I46" s="34"/>
    </row>
    <row r="47" spans="1:10" x14ac:dyDescent="0.25">
      <c r="A47" s="61" t="s">
        <v>0</v>
      </c>
      <c r="B47" s="62" t="s">
        <v>6</v>
      </c>
      <c r="C47" s="63">
        <f>C48*C49</f>
        <v>81469.735119999998</v>
      </c>
      <c r="D47" s="64">
        <f>SUM(H19:R19)</f>
        <v>94103.284877709841</v>
      </c>
      <c r="E47" s="62" t="s">
        <v>39</v>
      </c>
    </row>
    <row r="48" spans="1:10" x14ac:dyDescent="0.25">
      <c r="A48" s="61"/>
      <c r="B48" s="62" t="s">
        <v>30</v>
      </c>
      <c r="C48" s="63">
        <v>412.04599999999999</v>
      </c>
      <c r="D48" s="63">
        <f>C48*(1)</f>
        <v>412.04599999999999</v>
      </c>
      <c r="E48" s="62"/>
    </row>
    <row r="49" spans="1:8" x14ac:dyDescent="0.25">
      <c r="A49" s="61"/>
      <c r="B49" s="62" t="s">
        <v>32</v>
      </c>
      <c r="C49" s="65">
        <v>197.72</v>
      </c>
      <c r="D49" s="65">
        <f>D47/(D48)</f>
        <v>228.38053245926386</v>
      </c>
      <c r="E49" s="62" t="s">
        <v>39</v>
      </c>
      <c r="F49" s="12"/>
      <c r="G49" s="12"/>
      <c r="H49" s="12"/>
    </row>
    <row r="50" spans="1:8" x14ac:dyDescent="0.25">
      <c r="A50" s="61"/>
      <c r="B50" s="62" t="s">
        <v>2</v>
      </c>
      <c r="C50" s="62"/>
      <c r="D50" s="66">
        <f>D49/C49-1</f>
        <v>0.15507046560420723</v>
      </c>
      <c r="E50" s="62"/>
      <c r="F50" s="5"/>
    </row>
    <row r="51" spans="1:8" x14ac:dyDescent="0.25">
      <c r="A51" s="61"/>
      <c r="B51" s="62"/>
      <c r="C51" s="62"/>
      <c r="D51" s="67"/>
      <c r="E51" s="62"/>
      <c r="F51" s="5"/>
    </row>
    <row r="52" spans="1:8" x14ac:dyDescent="0.25">
      <c r="A52" s="62"/>
      <c r="B52" s="62"/>
      <c r="C52" s="62"/>
      <c r="D52" s="67"/>
      <c r="E52" s="67"/>
    </row>
    <row r="53" spans="1:8" x14ac:dyDescent="0.25">
      <c r="A53" s="67" t="s">
        <v>4</v>
      </c>
      <c r="B53" s="62"/>
      <c r="C53" s="69">
        <f>D44</f>
        <v>9.0000000000000011E-2</v>
      </c>
      <c r="D53" s="68"/>
      <c r="E53" s="62"/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D50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C30">
    <cfRule type="colorScale" priority="1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38:D42">
    <cfRule type="colorScale" priority="7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Optimistisch</vt:lpstr>
      <vt:lpstr>Pessimistisch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chris_grca1ny</cp:lastModifiedBy>
  <cp:lastPrinted>2021-08-03T18:16:56Z</cp:lastPrinted>
  <dcterms:created xsi:type="dcterms:W3CDTF">2020-02-09T06:30:31Z</dcterms:created>
  <dcterms:modified xsi:type="dcterms:W3CDTF">2021-08-06T20:00:35Z</dcterms:modified>
</cp:coreProperties>
</file>