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Maxar\"/>
    </mc:Choice>
  </mc:AlternateContent>
  <bookViews>
    <workbookView xWindow="0" yWindow="0" windowWidth="24000" windowHeight="9630" activeTab="1"/>
  </bookViews>
  <sheets>
    <sheet name="Pessimistisch" sheetId="11" r:id="rId1"/>
    <sheet name="Optimistisch" sheetId="10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1" l="1"/>
  <c r="D30" i="10"/>
  <c r="H15" i="11"/>
  <c r="I15" i="11"/>
  <c r="J15" i="11"/>
  <c r="K15" i="11"/>
  <c r="L15" i="11"/>
  <c r="I14" i="11"/>
  <c r="J14" i="11"/>
  <c r="K14" i="11"/>
  <c r="L14" i="11"/>
  <c r="D46" i="11"/>
  <c r="C55" i="11"/>
  <c r="H19" i="11"/>
  <c r="I19" i="11"/>
  <c r="J19" i="11"/>
  <c r="K19" i="11"/>
  <c r="L19" i="11"/>
  <c r="M11" i="11"/>
  <c r="M14" i="11"/>
  <c r="M15" i="11"/>
  <c r="M19" i="11"/>
  <c r="N11" i="11"/>
  <c r="N14" i="11"/>
  <c r="N15" i="11"/>
  <c r="N19" i="11"/>
  <c r="O11" i="11"/>
  <c r="O14" i="11"/>
  <c r="O15" i="11"/>
  <c r="O19" i="11"/>
  <c r="P11" i="11"/>
  <c r="P14" i="11"/>
  <c r="P15" i="11"/>
  <c r="P19" i="11"/>
  <c r="Q11" i="11"/>
  <c r="Q14" i="11"/>
  <c r="Q15" i="11"/>
  <c r="Q19" i="11"/>
  <c r="R11" i="11"/>
  <c r="R14" i="11"/>
  <c r="R15" i="11"/>
  <c r="R19" i="11"/>
  <c r="D49" i="11"/>
  <c r="D50" i="11"/>
  <c r="D51" i="11"/>
  <c r="D53" i="11"/>
  <c r="D52" i="11"/>
  <c r="C49" i="11"/>
  <c r="D44" i="11"/>
  <c r="D43" i="11"/>
  <c r="D42" i="11"/>
  <c r="D41" i="11"/>
  <c r="D40" i="11"/>
  <c r="G16" i="11"/>
  <c r="F16" i="11"/>
  <c r="E16" i="11"/>
  <c r="D16" i="11"/>
  <c r="C16" i="11"/>
  <c r="G13" i="11"/>
  <c r="F13" i="11"/>
  <c r="E13" i="11"/>
  <c r="G12" i="11"/>
  <c r="F12" i="11"/>
  <c r="D50" i="10"/>
  <c r="K12" i="10"/>
  <c r="H13" i="10"/>
  <c r="I13" i="10"/>
  <c r="J13" i="10"/>
  <c r="K13" i="10"/>
  <c r="L13" i="10"/>
  <c r="C16" i="10"/>
  <c r="D16" i="10"/>
  <c r="H12" i="10"/>
  <c r="D46" i="10"/>
  <c r="C55" i="10"/>
  <c r="H19" i="10"/>
  <c r="I19" i="10"/>
  <c r="J19" i="10"/>
  <c r="K19" i="10"/>
  <c r="L19" i="10"/>
  <c r="M11" i="10"/>
  <c r="M14" i="10"/>
  <c r="M15" i="10"/>
  <c r="M19" i="10"/>
  <c r="N11" i="10"/>
  <c r="N14" i="10"/>
  <c r="N15" i="10"/>
  <c r="N19" i="10"/>
  <c r="O11" i="10"/>
  <c r="O14" i="10"/>
  <c r="O15" i="10"/>
  <c r="O19" i="10"/>
  <c r="P11" i="10"/>
  <c r="P14" i="10"/>
  <c r="P15" i="10"/>
  <c r="P19" i="10"/>
  <c r="Q11" i="10"/>
  <c r="Q14" i="10"/>
  <c r="Q15" i="10"/>
  <c r="Q19" i="10"/>
  <c r="R11" i="10"/>
  <c r="R14" i="10"/>
  <c r="R15" i="10"/>
  <c r="R19" i="10"/>
  <c r="D49" i="10"/>
  <c r="D51" i="10"/>
  <c r="D53" i="10"/>
  <c r="D52" i="10"/>
  <c r="C49" i="10"/>
  <c r="D44" i="10"/>
  <c r="D43" i="10"/>
  <c r="D42" i="10"/>
  <c r="D41" i="10"/>
  <c r="D40" i="10"/>
  <c r="G16" i="10"/>
  <c r="F16" i="10"/>
  <c r="E16" i="10"/>
  <c r="G13" i="10"/>
  <c r="F13" i="10"/>
  <c r="E13" i="10"/>
  <c r="L12" i="10"/>
  <c r="J12" i="10"/>
  <c r="I12" i="10"/>
  <c r="G12" i="10"/>
  <c r="F12" i="10"/>
  <c r="H14" i="11"/>
</calcChain>
</file>

<file path=xl/sharedStrings.xml><?xml version="1.0" encoding="utf-8"?>
<sst xmlns="http://schemas.openxmlformats.org/spreadsheetml/2006/main" count="68" uniqueCount="37">
  <si>
    <t>Bewertung</t>
  </si>
  <si>
    <t>Umsatz-Wachstum, %</t>
  </si>
  <si>
    <t>Unterbewertung</t>
  </si>
  <si>
    <t>Fairer Wert</t>
  </si>
  <si>
    <t>Diskontierungsfaktor (WACC)</t>
  </si>
  <si>
    <t>Umsatz</t>
  </si>
  <si>
    <t>Marktkapitalisierung, Mio.</t>
  </si>
  <si>
    <t>Verhältnis EBIT zu Konzerngewinn:</t>
  </si>
  <si>
    <t>Bestimmung des WACC:</t>
  </si>
  <si>
    <t>Branche</t>
  </si>
  <si>
    <t>Gesamt Branche:</t>
  </si>
  <si>
    <t>EK Quote:</t>
  </si>
  <si>
    <t>Durschn. 5 Jahre</t>
  </si>
  <si>
    <t>Vereinfachter WACC:</t>
  </si>
  <si>
    <t>Schätzungen »</t>
  </si>
  <si>
    <t>Gewinn (30% Zinsen/Steuern/sonstiges)</t>
  </si>
  <si>
    <t>WACC gesamt</t>
  </si>
  <si>
    <t>Discounted Net-Profit Modell</t>
  </si>
  <si>
    <t>Anzahl Aktien gesamt, Mio.</t>
  </si>
  <si>
    <t>Abgezinster Gewinn:</t>
  </si>
  <si>
    <t xml:space="preserve">Kurs pro Aktie </t>
  </si>
  <si>
    <t>2031ff.</t>
  </si>
  <si>
    <t>USD</t>
  </si>
  <si>
    <t>Alle Angaben in Mio. USD</t>
  </si>
  <si>
    <t>Sicherheitszuschlag</t>
  </si>
  <si>
    <t>Überbewertung</t>
  </si>
  <si>
    <t>Chiphersteller/Chipfertiger</t>
  </si>
  <si>
    <t xml:space="preserve">25 % Abschlag vom EBIT scheinen durchaus realistisch </t>
  </si>
  <si>
    <t xml:space="preserve">im Bezug auf die Werte der Vergangenheit. </t>
  </si>
  <si>
    <t>EBT</t>
  </si>
  <si>
    <t>EBT Marge, %</t>
  </si>
  <si>
    <t xml:space="preserve">Weltraumtechnologie </t>
  </si>
  <si>
    <t xml:space="preserve">Sicherheistzuschlag </t>
  </si>
  <si>
    <t>EKQ 2020 23%</t>
  </si>
  <si>
    <t>EKQ 2023 23 %</t>
  </si>
  <si>
    <t>Pessimistische Annahmen für Maxar</t>
  </si>
  <si>
    <t>Optimistische Annahmen für Maxar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</si>
</sst>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dd\.mm\.yy;@"/>
    <numFmt numFmtId="165" formatCode="#,##0.0"/>
    <numFmt numFmtId="166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9" fontId="0" fillId="2" borderId="0" xfId="1" applyFont="1" applyFill="1"/>
    <xf numFmtId="0" fontId="0" fillId="2" borderId="0" xfId="0" applyFill="1" applyAlignment="1">
      <alignment wrapText="1"/>
    </xf>
    <xf numFmtId="0" fontId="5" fillId="2" borderId="0" xfId="0" applyFont="1" applyFill="1"/>
    <xf numFmtId="38" fontId="0" fillId="2" borderId="0" xfId="0" applyNumberFormat="1" applyFill="1"/>
    <xf numFmtId="3" fontId="4" fillId="2" borderId="0" xfId="0" quotePrefix="1" applyNumberFormat="1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44" fontId="3" fillId="2" borderId="0" xfId="3" applyFont="1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3" fontId="0" fillId="5" borderId="0" xfId="0" applyNumberFormat="1" applyFont="1" applyFill="1"/>
    <xf numFmtId="9" fontId="0" fillId="5" borderId="0" xfId="1" applyFont="1" applyFill="1"/>
    <xf numFmtId="3" fontId="0" fillId="5" borderId="0" xfId="0" applyNumberFormat="1" applyFill="1"/>
    <xf numFmtId="9" fontId="1" fillId="6" borderId="0" xfId="1" applyFont="1" applyFill="1"/>
    <xf numFmtId="3" fontId="0" fillId="7" borderId="0" xfId="0" applyNumberFormat="1" applyFont="1" applyFill="1"/>
    <xf numFmtId="9" fontId="1" fillId="7" borderId="0" xfId="1" applyFont="1" applyFill="1"/>
    <xf numFmtId="166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6" fontId="1" fillId="2" borderId="0" xfId="1" applyNumberFormat="1" applyFont="1" applyFill="1" applyBorder="1"/>
    <xf numFmtId="3" fontId="3" fillId="2" borderId="0" xfId="0" applyNumberFormat="1" applyFont="1" applyFill="1" applyBorder="1"/>
    <xf numFmtId="166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165" fontId="0" fillId="8" borderId="0" xfId="0" applyNumberForma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4" fontId="0" fillId="2" borderId="0" xfId="3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</cellXfs>
  <cellStyles count="4">
    <cellStyle name="Prozent" xfId="1" builtinId="5"/>
    <cellStyle name="Prozent 2" xfId="2"/>
    <cellStyle name="Standard" xfId="0" builtinId="0"/>
    <cellStyle name="Währung" xfId="3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CCCCFF"/>
      <color rgb="FF9966FF"/>
      <color rgb="FF9900CC"/>
      <color rgb="FFFFEB7D"/>
      <color rgb="FFFFD802"/>
      <color rgb="FFFFFAE0"/>
      <color rgb="FFCBD5E0"/>
      <color rgb="FFFFE1E2"/>
      <color rgb="FF9C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5"/>
  <sheetViews>
    <sheetView topLeftCell="A16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6" width="10.625" style="1"/>
    <col min="17" max="18" width="10.625" style="1" customWidth="1"/>
    <col min="19" max="16384" width="10.625" style="1"/>
  </cols>
  <sheetData>
    <row r="2" spans="1:28" ht="26.25" x14ac:dyDescent="0.4">
      <c r="B2" s="44" t="s">
        <v>17</v>
      </c>
    </row>
    <row r="4" spans="1:28" x14ac:dyDescent="0.25">
      <c r="B4" s="34" t="s">
        <v>35</v>
      </c>
    </row>
    <row r="6" spans="1:28" x14ac:dyDescent="0.25">
      <c r="B6" s="1" t="s">
        <v>23</v>
      </c>
    </row>
    <row r="9" spans="1:28" s="11" customFormat="1" x14ac:dyDescent="0.25">
      <c r="H9" s="13" t="s">
        <v>14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7"/>
      <c r="B10" s="7"/>
      <c r="C10" s="15">
        <v>2016</v>
      </c>
      <c r="D10" s="15">
        <v>2017</v>
      </c>
      <c r="E10" s="15">
        <v>2018</v>
      </c>
      <c r="F10" s="15">
        <v>2019</v>
      </c>
      <c r="G10" s="15">
        <v>2020</v>
      </c>
      <c r="H10" s="72">
        <v>2021</v>
      </c>
      <c r="I10" s="72">
        <v>2022</v>
      </c>
      <c r="J10" s="72">
        <v>2023</v>
      </c>
      <c r="K10" s="72">
        <v>2024</v>
      </c>
      <c r="L10" s="72">
        <v>2025</v>
      </c>
      <c r="M10" s="72">
        <v>2026</v>
      </c>
      <c r="N10" s="72">
        <v>2027</v>
      </c>
      <c r="O10" s="72">
        <v>2028</v>
      </c>
      <c r="P10" s="72">
        <v>2029</v>
      </c>
      <c r="Q10" s="72">
        <v>2030</v>
      </c>
      <c r="R10" s="71" t="s">
        <v>21</v>
      </c>
    </row>
    <row r="11" spans="1:28" x14ac:dyDescent="0.25">
      <c r="A11" s="8"/>
      <c r="B11" s="7" t="s">
        <v>5</v>
      </c>
      <c r="C11" s="16">
        <v>1557</v>
      </c>
      <c r="D11" s="16">
        <v>1631.2</v>
      </c>
      <c r="E11" s="16">
        <v>1804</v>
      </c>
      <c r="F11" s="16">
        <v>1666</v>
      </c>
      <c r="G11" s="16">
        <v>1723</v>
      </c>
      <c r="H11" s="20">
        <v>1782.56</v>
      </c>
      <c r="I11" s="20">
        <v>1880.7</v>
      </c>
      <c r="J11" s="20">
        <v>2018.57</v>
      </c>
      <c r="K11" s="20">
        <v>2224</v>
      </c>
      <c r="L11" s="20">
        <v>2349</v>
      </c>
      <c r="M11" s="20">
        <f>L11*(1+M12)</f>
        <v>2431.2149999999997</v>
      </c>
      <c r="N11" s="20">
        <f t="shared" ref="N11:R11" si="0">M11*(1+N12)</f>
        <v>2516.3075249999993</v>
      </c>
      <c r="O11" s="20">
        <f t="shared" si="0"/>
        <v>2604.3782883749991</v>
      </c>
      <c r="P11" s="20">
        <f t="shared" si="0"/>
        <v>2682.509637026249</v>
      </c>
      <c r="Q11" s="20">
        <f t="shared" si="0"/>
        <v>2762.9849261370364</v>
      </c>
      <c r="R11" s="20">
        <f t="shared" si="0"/>
        <v>2818.2446246597769</v>
      </c>
    </row>
    <row r="12" spans="1:28" x14ac:dyDescent="0.25">
      <c r="A12" s="8"/>
      <c r="B12" s="7" t="s">
        <v>1</v>
      </c>
      <c r="C12" s="17"/>
      <c r="D12" s="17"/>
      <c r="E12" s="17"/>
      <c r="F12" s="17">
        <f>F11/E11-1</f>
        <v>-7.6496674057649705E-2</v>
      </c>
      <c r="G12" s="17">
        <f>G11/F11-1</f>
        <v>3.4213685474189681E-2</v>
      </c>
      <c r="H12" s="73">
        <v>0.02</v>
      </c>
      <c r="I12" s="73">
        <v>2.5000000000000001E-2</v>
      </c>
      <c r="J12" s="73">
        <v>0.04</v>
      </c>
      <c r="K12" s="73">
        <v>0.06</v>
      </c>
      <c r="L12" s="73">
        <v>0.04</v>
      </c>
      <c r="M12" s="22">
        <v>3.5000000000000003E-2</v>
      </c>
      <c r="N12" s="22">
        <v>3.5000000000000003E-2</v>
      </c>
      <c r="O12" s="22">
        <v>3.5000000000000003E-2</v>
      </c>
      <c r="P12" s="22">
        <v>0.03</v>
      </c>
      <c r="Q12" s="22">
        <v>0.03</v>
      </c>
      <c r="R12" s="22">
        <v>0.02</v>
      </c>
    </row>
    <row r="13" spans="1:28" ht="15.95" customHeight="1" x14ac:dyDescent="0.25">
      <c r="A13" s="8"/>
      <c r="B13" s="7" t="s">
        <v>30</v>
      </c>
      <c r="C13" s="17"/>
      <c r="D13" s="17"/>
      <c r="E13" s="17">
        <f t="shared" ref="E13:G13" si="1">E14/E11</f>
        <v>-0.73614190687361414</v>
      </c>
      <c r="F13" s="17">
        <f t="shared" si="1"/>
        <v>4.6218487394957986E-2</v>
      </c>
      <c r="G13" s="17">
        <f t="shared" si="1"/>
        <v>-4.0046430644225188E-2</v>
      </c>
      <c r="H13" s="73">
        <v>-0.01</v>
      </c>
      <c r="I13" s="73">
        <v>0.03</v>
      </c>
      <c r="J13" s="73">
        <v>0.08</v>
      </c>
      <c r="K13" s="73">
        <v>0.13</v>
      </c>
      <c r="L13" s="73">
        <v>0.13</v>
      </c>
      <c r="M13" s="73">
        <v>0.1</v>
      </c>
      <c r="N13" s="21">
        <v>0.12</v>
      </c>
      <c r="O13" s="21">
        <v>0.12</v>
      </c>
      <c r="P13" s="21">
        <v>0.12</v>
      </c>
      <c r="Q13" s="21">
        <v>0.1</v>
      </c>
      <c r="R13" s="21">
        <v>0.13</v>
      </c>
    </row>
    <row r="14" spans="1:28" ht="17.100000000000001" customHeight="1" x14ac:dyDescent="0.25">
      <c r="A14" s="8"/>
      <c r="B14" s="7" t="s">
        <v>29</v>
      </c>
      <c r="C14" s="16">
        <v>107</v>
      </c>
      <c r="D14" s="16">
        <v>-67</v>
      </c>
      <c r="E14" s="16">
        <v>-1328</v>
      </c>
      <c r="F14" s="16">
        <v>77</v>
      </c>
      <c r="G14" s="16">
        <v>-69</v>
      </c>
      <c r="H14" s="20">
        <f>H11*H13</f>
        <v>-17.825600000000001</v>
      </c>
      <c r="I14" s="20">
        <f t="shared" ref="I14:L14" si="2">I11*I13</f>
        <v>56.420999999999999</v>
      </c>
      <c r="J14" s="20">
        <f t="shared" si="2"/>
        <v>161.48560000000001</v>
      </c>
      <c r="K14" s="20">
        <f t="shared" si="2"/>
        <v>289.12</v>
      </c>
      <c r="L14" s="20">
        <f t="shared" si="2"/>
        <v>305.37</v>
      </c>
      <c r="M14" s="20">
        <f t="shared" ref="M14:R14" si="3">M11*M13</f>
        <v>243.12149999999997</v>
      </c>
      <c r="N14" s="20">
        <f t="shared" si="3"/>
        <v>301.9569029999999</v>
      </c>
      <c r="O14" s="20">
        <f>O11*O13</f>
        <v>312.52539460499986</v>
      </c>
      <c r="P14" s="20">
        <f t="shared" si="3"/>
        <v>321.90115644314989</v>
      </c>
      <c r="Q14" s="20">
        <f t="shared" si="3"/>
        <v>276.29849261370367</v>
      </c>
      <c r="R14" s="20">
        <f t="shared" si="3"/>
        <v>366.37180120577102</v>
      </c>
    </row>
    <row r="15" spans="1:28" ht="16.5" thickBot="1" x14ac:dyDescent="0.3">
      <c r="A15" s="19">
        <v>0.25</v>
      </c>
      <c r="B15" s="7" t="s">
        <v>15</v>
      </c>
      <c r="C15" s="18">
        <v>68</v>
      </c>
      <c r="D15" s="16">
        <v>58</v>
      </c>
      <c r="E15" s="16">
        <v>-1250</v>
      </c>
      <c r="F15" s="16">
        <v>109</v>
      </c>
      <c r="G15" s="16">
        <v>303</v>
      </c>
      <c r="H15" s="20">
        <f t="shared" ref="H15:K15" si="4">H14*(1-$A$15)</f>
        <v>-13.369200000000001</v>
      </c>
      <c r="I15" s="20">
        <f t="shared" si="4"/>
        <v>42.315750000000001</v>
      </c>
      <c r="J15" s="20">
        <f t="shared" si="4"/>
        <v>121.11420000000001</v>
      </c>
      <c r="K15" s="20">
        <f t="shared" si="4"/>
        <v>216.84</v>
      </c>
      <c r="L15" s="20">
        <f t="shared" ref="L15:Q15" si="5">L14*(1-$A$15)</f>
        <v>229.0275</v>
      </c>
      <c r="M15" s="20">
        <f t="shared" si="5"/>
        <v>182.34112499999998</v>
      </c>
      <c r="N15" s="20">
        <f t="shared" si="5"/>
        <v>226.46767724999992</v>
      </c>
      <c r="O15" s="20">
        <f t="shared" si="5"/>
        <v>234.3940459537499</v>
      </c>
      <c r="P15" s="20">
        <f t="shared" si="5"/>
        <v>241.42586733236243</v>
      </c>
      <c r="Q15" s="20">
        <f t="shared" si="5"/>
        <v>207.22386946027774</v>
      </c>
      <c r="R15" s="20">
        <f>R14*(1-$A$15)</f>
        <v>274.77885090432824</v>
      </c>
    </row>
    <row r="16" spans="1:28" ht="32.25" thickBot="1" x14ac:dyDescent="0.3">
      <c r="A16" s="23" t="s">
        <v>7</v>
      </c>
      <c r="B16" s="24"/>
      <c r="C16" s="25">
        <f t="shared" ref="C16:D16" si="6">C15/C14</f>
        <v>0.63551401869158874</v>
      </c>
      <c r="D16" s="25">
        <f t="shared" si="6"/>
        <v>-0.86567164179104472</v>
      </c>
      <c r="E16" s="25">
        <f>E15/E14</f>
        <v>0.9412650602409639</v>
      </c>
      <c r="F16" s="25">
        <f>F15/F14</f>
        <v>1.4155844155844155</v>
      </c>
      <c r="G16" s="26">
        <f>G15/G14</f>
        <v>-4.3913043478260869</v>
      </c>
    </row>
    <row r="17" spans="1:18" x14ac:dyDescent="0.25">
      <c r="A17" s="3"/>
      <c r="G17" s="9"/>
      <c r="H17" s="9"/>
      <c r="I17" s="9"/>
      <c r="J17" s="9"/>
      <c r="K17" s="9"/>
      <c r="L17" s="9"/>
      <c r="M17" s="9"/>
      <c r="N17" s="9"/>
      <c r="O17" s="9"/>
      <c r="P17" s="4"/>
      <c r="Q17" s="4"/>
      <c r="R17" s="4"/>
    </row>
    <row r="18" spans="1:18" ht="16.5" thickBot="1" x14ac:dyDescent="0.3">
      <c r="A18" s="3"/>
      <c r="G18" s="9"/>
      <c r="I18" s="9"/>
      <c r="J18" s="9"/>
      <c r="K18" s="9"/>
      <c r="L18" s="9"/>
      <c r="M18" s="9"/>
      <c r="N18" s="9"/>
      <c r="O18" s="9"/>
      <c r="P18" s="4"/>
      <c r="Q18" s="4"/>
      <c r="R18" s="4"/>
    </row>
    <row r="19" spans="1:18" ht="16.5" thickBot="1" x14ac:dyDescent="0.3">
      <c r="A19" s="3"/>
      <c r="F19" s="67" t="s">
        <v>19</v>
      </c>
      <c r="G19" s="68"/>
      <c r="H19" s="69">
        <f>H15/(1+$C$55)</f>
        <v>-12.044324324324323</v>
      </c>
      <c r="I19" s="69">
        <f>I15/(1+$C$55)^2</f>
        <v>34.344411979547111</v>
      </c>
      <c r="J19" s="69">
        <f>J15/(1+$C$55)^3</f>
        <v>88.557659193159552</v>
      </c>
      <c r="K19" s="69">
        <f>K15/(1+$C$55)^4</f>
        <v>142.83922443360183</v>
      </c>
      <c r="L19" s="69">
        <f>L15/(1+$C$55)^5</f>
        <v>135.91667403693154</v>
      </c>
      <c r="M19" s="69">
        <f>M15/(1+$C$55)^6</f>
        <v>97.487011523370839</v>
      </c>
      <c r="N19" s="69">
        <f>N15/(1+$C$55)^7</f>
        <v>109.08006154236627</v>
      </c>
      <c r="O19" s="69">
        <f>O15/(1+$C$55)^8</f>
        <v>101.70978711382797</v>
      </c>
      <c r="P19" s="69">
        <f>P15/(1+$C$55)^9</f>
        <v>94.379352006525053</v>
      </c>
      <c r="Q19" s="69">
        <f>Q15/(1+$C$55)^10</f>
        <v>72.981030455496082</v>
      </c>
      <c r="R19" s="70">
        <f>(R15/(C55-R12))/(1+C55)^10</f>
        <v>1075.2538487109755</v>
      </c>
    </row>
    <row r="20" spans="1:18" x14ac:dyDescent="0.25">
      <c r="A20" s="3"/>
      <c r="C20" s="1" t="s">
        <v>27</v>
      </c>
      <c r="G20" s="9"/>
      <c r="H20" s="10"/>
      <c r="I20" s="9"/>
      <c r="J20" s="9"/>
      <c r="K20" s="9"/>
      <c r="L20" s="9"/>
      <c r="M20" s="9"/>
      <c r="N20" s="9"/>
      <c r="O20" s="9"/>
      <c r="P20" s="4"/>
      <c r="Q20" s="4"/>
      <c r="R20" s="4"/>
    </row>
    <row r="21" spans="1:18" x14ac:dyDescent="0.25">
      <c r="A21" s="3"/>
      <c r="C21" s="1" t="s">
        <v>28</v>
      </c>
      <c r="P21" s="4"/>
      <c r="Q21" s="4"/>
      <c r="R21" s="4"/>
    </row>
    <row r="22" spans="1:18" ht="16.5" thickBot="1" x14ac:dyDescent="0.3">
      <c r="P22" s="4"/>
      <c r="Q22" s="4"/>
      <c r="R22" s="4"/>
    </row>
    <row r="23" spans="1:18" x14ac:dyDescent="0.25">
      <c r="A23" s="45" t="s">
        <v>8</v>
      </c>
      <c r="B23" s="46"/>
      <c r="C23" s="46"/>
      <c r="D23" s="47"/>
      <c r="E23" s="35"/>
      <c r="F23" s="46"/>
      <c r="G23" s="35"/>
      <c r="H23" s="35"/>
      <c r="I23" s="35"/>
      <c r="J23" s="36"/>
    </row>
    <row r="24" spans="1:18" x14ac:dyDescent="0.25">
      <c r="A24" s="48"/>
      <c r="B24" s="49"/>
      <c r="C24" s="49"/>
      <c r="D24" s="50"/>
      <c r="E24" s="49"/>
      <c r="F24" s="49"/>
      <c r="G24" s="38"/>
      <c r="H24" s="38"/>
      <c r="I24" s="38"/>
      <c r="J24" s="39"/>
    </row>
    <row r="25" spans="1:18" x14ac:dyDescent="0.25">
      <c r="A25" s="48" t="s">
        <v>9</v>
      </c>
      <c r="B25" s="49" t="s">
        <v>31</v>
      </c>
      <c r="C25" s="49"/>
      <c r="D25" s="51">
        <v>8.5000000000000006E-2</v>
      </c>
      <c r="E25" s="38"/>
      <c r="F25" s="49"/>
      <c r="G25" s="38"/>
      <c r="H25" s="38"/>
      <c r="I25" s="38"/>
      <c r="J25" s="39"/>
    </row>
    <row r="26" spans="1:18" x14ac:dyDescent="0.25">
      <c r="A26" s="48"/>
      <c r="B26" s="49" t="s">
        <v>32</v>
      </c>
      <c r="C26" s="49"/>
      <c r="D26" s="51">
        <v>0.01</v>
      </c>
      <c r="E26" s="38"/>
      <c r="F26" s="49"/>
      <c r="G26" s="38"/>
      <c r="H26" s="38"/>
      <c r="I26" s="38"/>
      <c r="J26" s="39"/>
      <c r="M26" s="38"/>
      <c r="N26" s="38"/>
      <c r="O26" s="38"/>
    </row>
    <row r="27" spans="1:18" x14ac:dyDescent="0.25">
      <c r="A27" s="48"/>
      <c r="B27" s="49"/>
      <c r="C27" s="49"/>
      <c r="D27" s="52"/>
      <c r="E27" s="38"/>
      <c r="F27" s="49"/>
      <c r="G27" s="38"/>
      <c r="H27" s="38"/>
      <c r="I27" s="38"/>
      <c r="J27" s="39"/>
      <c r="M27" s="38"/>
      <c r="N27" s="38"/>
      <c r="O27" s="38"/>
    </row>
    <row r="28" spans="1:18" x14ac:dyDescent="0.25">
      <c r="A28" s="48"/>
      <c r="B28" s="49"/>
      <c r="C28" s="49"/>
      <c r="D28" s="52"/>
      <c r="E28" s="38"/>
      <c r="F28" s="49"/>
      <c r="G28" s="38"/>
      <c r="H28" s="38"/>
      <c r="I28" s="38"/>
      <c r="J28" s="39"/>
      <c r="M28" s="38"/>
      <c r="N28" s="38"/>
      <c r="O28" s="38"/>
    </row>
    <row r="29" spans="1:18" x14ac:dyDescent="0.25">
      <c r="A29" s="48"/>
      <c r="B29" s="49"/>
      <c r="C29" s="49"/>
      <c r="D29" s="52"/>
      <c r="E29" s="38"/>
      <c r="F29" s="49"/>
      <c r="G29" s="38"/>
      <c r="H29" s="38"/>
      <c r="I29" s="38"/>
      <c r="J29" s="39"/>
      <c r="M29" s="38"/>
      <c r="N29" s="38"/>
      <c r="O29" s="38"/>
    </row>
    <row r="30" spans="1:18" x14ac:dyDescent="0.25">
      <c r="A30" s="48"/>
      <c r="B30" s="49" t="s">
        <v>10</v>
      </c>
      <c r="C30" s="49"/>
      <c r="D30" s="53">
        <f>D26+D25</f>
        <v>9.5000000000000001E-2</v>
      </c>
      <c r="E30" s="38"/>
      <c r="F30" s="49"/>
      <c r="G30" s="38"/>
      <c r="H30" s="38"/>
      <c r="I30" s="38"/>
      <c r="J30" s="39"/>
      <c r="M30" s="38"/>
      <c r="N30" s="38"/>
      <c r="O30" s="38"/>
      <c r="R30" s="6"/>
    </row>
    <row r="31" spans="1:18" x14ac:dyDescent="0.25">
      <c r="A31" s="48"/>
      <c r="B31" s="49"/>
      <c r="C31" s="49"/>
      <c r="D31" s="50"/>
      <c r="E31" s="38"/>
      <c r="F31" s="49"/>
      <c r="G31" s="38"/>
      <c r="H31" s="38"/>
      <c r="I31" s="38"/>
      <c r="J31" s="39"/>
      <c r="M31" s="38"/>
      <c r="N31" s="40"/>
      <c r="O31" s="38"/>
      <c r="R31" s="6"/>
    </row>
    <row r="32" spans="1:18" x14ac:dyDescent="0.25">
      <c r="A32" s="37"/>
      <c r="B32" s="38"/>
      <c r="C32" s="54"/>
      <c r="D32" s="38"/>
      <c r="E32" s="49"/>
      <c r="F32" s="49"/>
      <c r="G32" s="38"/>
      <c r="H32" s="38"/>
      <c r="I32" s="38"/>
      <c r="J32" s="39"/>
      <c r="M32" s="38"/>
      <c r="N32" s="38"/>
      <c r="O32" s="38"/>
      <c r="P32" s="2"/>
      <c r="Q32" s="2"/>
      <c r="R32" s="2"/>
    </row>
    <row r="33" spans="1:1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9"/>
      <c r="M33" s="38"/>
      <c r="N33" s="38"/>
      <c r="O33" s="38"/>
    </row>
    <row r="34" spans="1:15" x14ac:dyDescent="0.25">
      <c r="A34" s="48" t="s">
        <v>11</v>
      </c>
      <c r="B34" s="49" t="s">
        <v>12</v>
      </c>
      <c r="C34" s="55"/>
      <c r="D34" s="40">
        <v>1.4999999999999999E-2</v>
      </c>
      <c r="E34" s="38"/>
      <c r="F34" s="38" t="s">
        <v>33</v>
      </c>
      <c r="G34" s="38"/>
      <c r="H34" s="38"/>
      <c r="I34" s="38"/>
      <c r="J34" s="39"/>
    </row>
    <row r="35" spans="1:15" ht="15.75" hidden="1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9"/>
    </row>
    <row r="36" spans="1:15" ht="15.75" hidden="1" customHeight="1" x14ac:dyDescent="0.25">
      <c r="A36" s="37"/>
      <c r="B36" s="38" t="s">
        <v>13</v>
      </c>
      <c r="C36" s="38"/>
      <c r="D36" s="56">
        <v>0.08</v>
      </c>
      <c r="E36" s="38"/>
      <c r="F36" s="38"/>
      <c r="G36" s="38"/>
      <c r="H36" s="38"/>
      <c r="I36" s="38"/>
      <c r="J36" s="39"/>
    </row>
    <row r="37" spans="1:15" ht="15.75" hidden="1" customHeight="1" x14ac:dyDescent="0.25">
      <c r="A37" s="37"/>
      <c r="B37" s="38"/>
      <c r="C37" s="38"/>
      <c r="D37" s="38"/>
      <c r="E37" s="38"/>
      <c r="F37" s="38"/>
      <c r="G37" s="38"/>
      <c r="H37" s="38"/>
      <c r="I37" s="38"/>
      <c r="J37" s="39"/>
    </row>
    <row r="38" spans="1:15" ht="15.75" hidden="1" customHeight="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9"/>
    </row>
    <row r="39" spans="1:15" ht="15.75" hidden="1" customHeight="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9"/>
    </row>
    <row r="40" spans="1:15" hidden="1" x14ac:dyDescent="0.25">
      <c r="A40" s="37"/>
      <c r="B40" s="57"/>
      <c r="C40" s="57">
        <v>0.12</v>
      </c>
      <c r="D40" s="57" t="e">
        <f>((NPV(C40,$H$15:$R$15)+(#REF!*(1+#REF!)/(C40-#REF!))/(1+C40)^(2040-2020))/$D$50)/$C$51-1</f>
        <v>#REF!</v>
      </c>
      <c r="E40" s="38"/>
      <c r="F40" s="38"/>
      <c r="G40" s="38"/>
      <c r="H40" s="38"/>
      <c r="I40" s="38"/>
      <c r="J40" s="39"/>
    </row>
    <row r="41" spans="1:15" hidden="1" x14ac:dyDescent="0.25">
      <c r="A41" s="37"/>
      <c r="B41" s="57"/>
      <c r="C41" s="57">
        <v>0.14000000000000001</v>
      </c>
      <c r="D41" s="57" t="e">
        <f>((NPV(C41,$H$15:$R$15)+(#REF!*(1+#REF!)/(C41-#REF!))/(1+C41)^(2040-2020))/$D$50)/$C$51-1</f>
        <v>#REF!</v>
      </c>
      <c r="E41" s="38"/>
      <c r="F41" s="38"/>
      <c r="G41" s="38"/>
      <c r="H41" s="38"/>
      <c r="I41" s="38"/>
      <c r="J41" s="39"/>
    </row>
    <row r="42" spans="1:15" hidden="1" x14ac:dyDescent="0.25">
      <c r="A42" s="37"/>
      <c r="B42" s="57"/>
      <c r="C42" s="57">
        <v>0.16</v>
      </c>
      <c r="D42" s="57" t="e">
        <f>((NPV(C42,$H$15:$R$15)+(#REF!*(1+#REF!)/(C42-#REF!))/(1+C42)^(2040-2020))/$D$50)/$C$51-1</f>
        <v>#REF!</v>
      </c>
      <c r="E42" s="38"/>
      <c r="F42" s="38"/>
      <c r="G42" s="38"/>
      <c r="H42" s="38"/>
      <c r="I42" s="38"/>
      <c r="J42" s="39"/>
    </row>
    <row r="43" spans="1:15" hidden="1" x14ac:dyDescent="0.25">
      <c r="A43" s="37"/>
      <c r="B43" s="57"/>
      <c r="C43" s="57">
        <v>0.18</v>
      </c>
      <c r="D43" s="57" t="e">
        <f>((NPV(C43,$H$15:$R$15)+(#REF!*(1+#REF!)/(C43-#REF!))/(1+C43)^(2040-2020))/$D$50)/$C$51-1</f>
        <v>#REF!</v>
      </c>
      <c r="E43" s="38"/>
      <c r="F43" s="38"/>
      <c r="G43" s="38"/>
      <c r="H43" s="38"/>
      <c r="I43" s="38"/>
      <c r="J43" s="39"/>
    </row>
    <row r="44" spans="1:15" hidden="1" x14ac:dyDescent="0.25">
      <c r="A44" s="37"/>
      <c r="B44" s="57"/>
      <c r="C44" s="57">
        <v>0.2</v>
      </c>
      <c r="D44" s="57" t="e">
        <f>((NPV(C44,$H$15:$R$15)+(#REF!*(1+#REF!)/(C44-#REF!))/(1+C44)^(2040-2020))/$D$50)/$C$51-1</f>
        <v>#REF!</v>
      </c>
      <c r="E44" s="38"/>
      <c r="F44" s="38"/>
      <c r="G44" s="38"/>
      <c r="H44" s="38"/>
      <c r="I44" s="38"/>
      <c r="J44" s="39"/>
    </row>
    <row r="45" spans="1:15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9"/>
    </row>
    <row r="46" spans="1:15" ht="16.5" thickBot="1" x14ac:dyDescent="0.3">
      <c r="A46" s="41"/>
      <c r="B46" s="42" t="s">
        <v>16</v>
      </c>
      <c r="C46" s="42"/>
      <c r="D46" s="58">
        <f>D30+D34</f>
        <v>0.11</v>
      </c>
      <c r="E46" s="42"/>
      <c r="F46" s="42"/>
      <c r="G46" s="42"/>
      <c r="H46" s="42"/>
      <c r="I46" s="42"/>
      <c r="J46" s="43"/>
    </row>
    <row r="48" spans="1:15" x14ac:dyDescent="0.25">
      <c r="A48" s="27"/>
      <c r="B48" s="28"/>
      <c r="C48" s="29">
        <v>44449</v>
      </c>
      <c r="D48" s="30" t="s">
        <v>3</v>
      </c>
      <c r="E48" s="31"/>
      <c r="F48" s="32"/>
      <c r="G48" s="33"/>
      <c r="H48" s="33"/>
      <c r="I48" s="33"/>
    </row>
    <row r="49" spans="1:8" x14ac:dyDescent="0.25">
      <c r="A49" s="59" t="s">
        <v>0</v>
      </c>
      <c r="B49" s="60" t="s">
        <v>6</v>
      </c>
      <c r="C49" s="61">
        <f>C50*C51</f>
        <v>2230.2792199999999</v>
      </c>
      <c r="D49" s="62">
        <f>SUM(H19:R19)</f>
        <v>1940.5047366714775</v>
      </c>
      <c r="E49" s="60" t="s">
        <v>22</v>
      </c>
    </row>
    <row r="50" spans="1:8" x14ac:dyDescent="0.25">
      <c r="A50" s="59"/>
      <c r="B50" s="60" t="s">
        <v>18</v>
      </c>
      <c r="C50" s="61">
        <v>72.552999999999997</v>
      </c>
      <c r="D50" s="61">
        <f>C50*1.05</f>
        <v>76.18065</v>
      </c>
      <c r="E50" s="60"/>
    </row>
    <row r="51" spans="1:8" x14ac:dyDescent="0.25">
      <c r="A51" s="59"/>
      <c r="B51" s="60" t="s">
        <v>20</v>
      </c>
      <c r="C51" s="75">
        <v>30.74</v>
      </c>
      <c r="D51" s="63">
        <f>D49/(D50)</f>
        <v>25.4724098136663</v>
      </c>
      <c r="E51" s="60" t="s">
        <v>22</v>
      </c>
      <c r="F51" s="74"/>
      <c r="G51" s="12"/>
      <c r="H51" s="12"/>
    </row>
    <row r="52" spans="1:8" x14ac:dyDescent="0.25">
      <c r="A52" s="59"/>
      <c r="B52" s="60" t="s">
        <v>2</v>
      </c>
      <c r="C52" s="60"/>
      <c r="D52" s="76">
        <f>IF(C51/D51-1&gt;0,0,C51/D51-1)</f>
        <v>0</v>
      </c>
      <c r="E52" s="60"/>
      <c r="F52" s="5"/>
    </row>
    <row r="53" spans="1:8" x14ac:dyDescent="0.25">
      <c r="A53" s="59"/>
      <c r="B53" s="60" t="s">
        <v>25</v>
      </c>
      <c r="C53" s="60"/>
      <c r="D53" s="77">
        <f>IF(C51/D51-1&lt;0,0,C51/D51-1)</f>
        <v>0.20679591074683334</v>
      </c>
      <c r="E53" s="60"/>
      <c r="F53" s="5"/>
    </row>
    <row r="54" spans="1:8" x14ac:dyDescent="0.25">
      <c r="A54" s="60"/>
      <c r="B54" s="60"/>
      <c r="C54" s="60"/>
      <c r="D54" s="64"/>
      <c r="E54" s="64"/>
    </row>
    <row r="55" spans="1:8" x14ac:dyDescent="0.25">
      <c r="A55" s="64" t="s">
        <v>4</v>
      </c>
      <c r="B55" s="60"/>
      <c r="C55" s="66">
        <f>D46</f>
        <v>0.11</v>
      </c>
      <c r="D55" s="65"/>
      <c r="E55" s="60"/>
    </row>
  </sheetData>
  <conditionalFormatting sqref="L6:L8">
    <cfRule type="top10" dxfId="7" priority="5" percent="1" rank="10"/>
  </conditionalFormatting>
  <conditionalFormatting sqref="G6:J8">
    <cfRule type="top10" dxfId="6" priority="4" percent="1" rank="10"/>
  </conditionalFormatting>
  <conditionalFormatting sqref="L9">
    <cfRule type="top10" dxfId="5" priority="3" percent="1" rank="10"/>
  </conditionalFormatting>
  <conditionalFormatting sqref="L2:L5">
    <cfRule type="top10" dxfId="4" priority="2" percent="1" rank="10"/>
  </conditionalFormatting>
  <conditionalFormatting sqref="C32">
    <cfRule type="colorScale" priority="1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6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5"/>
  <sheetViews>
    <sheetView tabSelected="1" topLeftCell="A10" zoomScale="90" zoomScaleNormal="9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6" width="10.625" style="1"/>
    <col min="17" max="18" width="10.625" style="1" customWidth="1"/>
    <col min="19" max="16384" width="10.625" style="1"/>
  </cols>
  <sheetData>
    <row r="2" spans="1:28" ht="26.25" x14ac:dyDescent="0.4">
      <c r="B2" s="44" t="s">
        <v>17</v>
      </c>
    </row>
    <row r="4" spans="1:28" x14ac:dyDescent="0.25">
      <c r="B4" s="34" t="s">
        <v>36</v>
      </c>
    </row>
    <row r="6" spans="1:28" x14ac:dyDescent="0.25">
      <c r="B6" s="1" t="s">
        <v>23</v>
      </c>
    </row>
    <row r="9" spans="1:28" s="11" customFormat="1" x14ac:dyDescent="0.25">
      <c r="H9" s="13" t="s">
        <v>14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7"/>
      <c r="B10" s="7"/>
      <c r="C10" s="15">
        <v>2016</v>
      </c>
      <c r="D10" s="15">
        <v>2017</v>
      </c>
      <c r="E10" s="15">
        <v>2018</v>
      </c>
      <c r="F10" s="15">
        <v>2019</v>
      </c>
      <c r="G10" s="15">
        <v>2020</v>
      </c>
      <c r="H10" s="72">
        <v>2021</v>
      </c>
      <c r="I10" s="72">
        <v>2022</v>
      </c>
      <c r="J10" s="72">
        <v>2023</v>
      </c>
      <c r="K10" s="72">
        <v>2024</v>
      </c>
      <c r="L10" s="72">
        <v>2025</v>
      </c>
      <c r="M10" s="72">
        <v>2026</v>
      </c>
      <c r="N10" s="72">
        <v>2027</v>
      </c>
      <c r="O10" s="72">
        <v>2028</v>
      </c>
      <c r="P10" s="72">
        <v>2029</v>
      </c>
      <c r="Q10" s="72">
        <v>2030</v>
      </c>
      <c r="R10" s="71" t="s">
        <v>21</v>
      </c>
    </row>
    <row r="11" spans="1:28" x14ac:dyDescent="0.25">
      <c r="A11" s="8"/>
      <c r="B11" s="7" t="s">
        <v>5</v>
      </c>
      <c r="C11" s="16">
        <v>1557</v>
      </c>
      <c r="D11" s="16">
        <v>1631.2</v>
      </c>
      <c r="E11" s="16">
        <v>1804</v>
      </c>
      <c r="F11" s="16">
        <v>1666</v>
      </c>
      <c r="G11" s="16">
        <v>1723</v>
      </c>
      <c r="H11" s="20">
        <v>1782.56</v>
      </c>
      <c r="I11" s="20">
        <v>1880.7</v>
      </c>
      <c r="J11" s="20">
        <v>2018.57</v>
      </c>
      <c r="K11" s="20">
        <v>2224</v>
      </c>
      <c r="L11" s="20">
        <v>2349</v>
      </c>
      <c r="M11" s="20">
        <f>L11*(1+M12)</f>
        <v>2466.4500000000003</v>
      </c>
      <c r="N11" s="20">
        <f t="shared" ref="N11:R11" si="0">M11*(1+N12)</f>
        <v>2577.4402500000001</v>
      </c>
      <c r="O11" s="20">
        <f t="shared" si="0"/>
        <v>2680.5378600000004</v>
      </c>
      <c r="P11" s="20">
        <f t="shared" si="0"/>
        <v>2760.9539958000005</v>
      </c>
      <c r="Q11" s="20">
        <f t="shared" si="0"/>
        <v>2843.7826156740007</v>
      </c>
      <c r="R11" s="20">
        <f t="shared" si="0"/>
        <v>2914.8771810658504</v>
      </c>
    </row>
    <row r="12" spans="1:28" x14ac:dyDescent="0.25">
      <c r="A12" s="8"/>
      <c r="B12" s="7" t="s">
        <v>1</v>
      </c>
      <c r="C12" s="17"/>
      <c r="D12" s="17"/>
      <c r="E12" s="17"/>
      <c r="F12" s="17">
        <f>F11/E11-1</f>
        <v>-7.6496674057649705E-2</v>
      </c>
      <c r="G12" s="17">
        <f>G11/F11-1</f>
        <v>3.4213685474189681E-2</v>
      </c>
      <c r="H12" s="73">
        <f>H11/G11-1</f>
        <v>3.4567614625652832E-2</v>
      </c>
      <c r="I12" s="73">
        <f t="shared" ref="I12:L12" si="1">I11/H11-1</f>
        <v>5.505565030069115E-2</v>
      </c>
      <c r="J12" s="73">
        <f t="shared" si="1"/>
        <v>7.3307810921465322E-2</v>
      </c>
      <c r="K12" s="73">
        <f>K11/J11-1</f>
        <v>0.1017700649469675</v>
      </c>
      <c r="L12" s="73">
        <f t="shared" si="1"/>
        <v>5.620503597122295E-2</v>
      </c>
      <c r="M12" s="22">
        <v>0.05</v>
      </c>
      <c r="N12" s="22">
        <v>4.4999999999999998E-2</v>
      </c>
      <c r="O12" s="22">
        <v>0.04</v>
      </c>
      <c r="P12" s="22">
        <v>0.03</v>
      </c>
      <c r="Q12" s="22">
        <v>0.03</v>
      </c>
      <c r="R12" s="22">
        <v>2.5000000000000001E-2</v>
      </c>
    </row>
    <row r="13" spans="1:28" ht="15.95" customHeight="1" x14ac:dyDescent="0.25">
      <c r="A13" s="8"/>
      <c r="B13" s="7" t="s">
        <v>30</v>
      </c>
      <c r="C13" s="17"/>
      <c r="D13" s="17"/>
      <c r="E13" s="17">
        <f t="shared" ref="E13:L13" si="2">E14/E11</f>
        <v>-0.73614190687361414</v>
      </c>
      <c r="F13" s="17">
        <f t="shared" si="2"/>
        <v>4.6218487394957986E-2</v>
      </c>
      <c r="G13" s="17">
        <f t="shared" si="2"/>
        <v>-4.0046430644225188E-2</v>
      </c>
      <c r="H13" s="73">
        <f t="shared" si="2"/>
        <v>-7.0123866798312545E-3</v>
      </c>
      <c r="I13" s="73">
        <f t="shared" si="2"/>
        <v>3.8602647950231293E-2</v>
      </c>
      <c r="J13" s="73">
        <f t="shared" si="2"/>
        <v>0.10368230975393472</v>
      </c>
      <c r="K13" s="73">
        <f t="shared" si="2"/>
        <v>0.16861510791366907</v>
      </c>
      <c r="L13" s="73">
        <f t="shared" si="2"/>
        <v>0.17454235845040442</v>
      </c>
      <c r="M13" s="73">
        <v>0.17</v>
      </c>
      <c r="N13" s="21">
        <v>0.17</v>
      </c>
      <c r="O13" s="21">
        <v>0.17</v>
      </c>
      <c r="P13" s="21">
        <v>0.15</v>
      </c>
      <c r="Q13" s="21">
        <v>0.15</v>
      </c>
      <c r="R13" s="21">
        <v>0.15</v>
      </c>
    </row>
    <row r="14" spans="1:28" ht="17.100000000000001" customHeight="1" x14ac:dyDescent="0.25">
      <c r="A14" s="8"/>
      <c r="B14" s="7" t="s">
        <v>29</v>
      </c>
      <c r="C14" s="16">
        <v>107</v>
      </c>
      <c r="D14" s="16">
        <v>-67</v>
      </c>
      <c r="E14" s="16">
        <v>-1328</v>
      </c>
      <c r="F14" s="16">
        <v>77</v>
      </c>
      <c r="G14" s="16">
        <v>-69</v>
      </c>
      <c r="H14" s="20">
        <v>-12.5</v>
      </c>
      <c r="I14" s="20">
        <v>72.599999999999994</v>
      </c>
      <c r="J14" s="20">
        <v>209.29</v>
      </c>
      <c r="K14" s="20">
        <v>375</v>
      </c>
      <c r="L14" s="20">
        <v>410</v>
      </c>
      <c r="M14" s="20">
        <f t="shared" ref="M14:R14" si="3">M11*M13</f>
        <v>419.29650000000009</v>
      </c>
      <c r="N14" s="20">
        <f t="shared" si="3"/>
        <v>438.16484250000008</v>
      </c>
      <c r="O14" s="20">
        <f>O11*O13</f>
        <v>455.69143620000011</v>
      </c>
      <c r="P14" s="20">
        <f t="shared" si="3"/>
        <v>414.14309937000007</v>
      </c>
      <c r="Q14" s="20">
        <f t="shared" si="3"/>
        <v>426.56739235110007</v>
      </c>
      <c r="R14" s="20">
        <f t="shared" si="3"/>
        <v>437.23157715987753</v>
      </c>
    </row>
    <row r="15" spans="1:28" ht="16.5" thickBot="1" x14ac:dyDescent="0.3">
      <c r="A15" s="19">
        <v>0.25</v>
      </c>
      <c r="B15" s="7" t="s">
        <v>15</v>
      </c>
      <c r="C15" s="18">
        <v>68</v>
      </c>
      <c r="D15" s="16">
        <v>58</v>
      </c>
      <c r="E15" s="16">
        <v>-1250</v>
      </c>
      <c r="F15" s="16">
        <v>109</v>
      </c>
      <c r="G15" s="16">
        <v>303</v>
      </c>
      <c r="H15" s="20">
        <v>-10.77</v>
      </c>
      <c r="I15" s="20">
        <v>73.48</v>
      </c>
      <c r="J15" s="20">
        <v>194.73</v>
      </c>
      <c r="K15" s="20">
        <v>356</v>
      </c>
      <c r="L15" s="20">
        <v>389</v>
      </c>
      <c r="M15" s="20">
        <f t="shared" ref="M15:Q15" si="4">M14*(1-$A$15)</f>
        <v>314.47237500000006</v>
      </c>
      <c r="N15" s="20">
        <f t="shared" si="4"/>
        <v>328.62363187500006</v>
      </c>
      <c r="O15" s="20">
        <f t="shared" si="4"/>
        <v>341.76857715000006</v>
      </c>
      <c r="P15" s="20">
        <f t="shared" si="4"/>
        <v>310.60732452750005</v>
      </c>
      <c r="Q15" s="20">
        <f t="shared" si="4"/>
        <v>319.92554426332504</v>
      </c>
      <c r="R15" s="20">
        <f>R14*(1-$A$15)</f>
        <v>327.92368286990813</v>
      </c>
    </row>
    <row r="16" spans="1:28" ht="32.25" thickBot="1" x14ac:dyDescent="0.3">
      <c r="A16" s="23" t="s">
        <v>7</v>
      </c>
      <c r="B16" s="24"/>
      <c r="C16" s="25">
        <f t="shared" ref="C16:D16" si="5">C15/C14</f>
        <v>0.63551401869158874</v>
      </c>
      <c r="D16" s="25">
        <f t="shared" si="5"/>
        <v>-0.86567164179104472</v>
      </c>
      <c r="E16" s="25">
        <f>E15/E14</f>
        <v>0.9412650602409639</v>
      </c>
      <c r="F16" s="25">
        <f>F15/F14</f>
        <v>1.4155844155844155</v>
      </c>
      <c r="G16" s="26">
        <f>G15/G14</f>
        <v>-4.3913043478260869</v>
      </c>
    </row>
    <row r="17" spans="1:18" x14ac:dyDescent="0.25">
      <c r="A17" s="3"/>
      <c r="G17" s="9"/>
      <c r="H17" s="9"/>
      <c r="I17" s="9"/>
      <c r="J17" s="9"/>
      <c r="K17" s="9"/>
      <c r="L17" s="9"/>
      <c r="M17" s="9"/>
      <c r="N17" s="9"/>
      <c r="O17" s="9"/>
      <c r="P17" s="4"/>
      <c r="Q17" s="4"/>
      <c r="R17" s="4"/>
    </row>
    <row r="18" spans="1:18" ht="16.5" thickBot="1" x14ac:dyDescent="0.3">
      <c r="A18" s="3"/>
      <c r="G18" s="9"/>
      <c r="I18" s="9"/>
      <c r="J18" s="9"/>
      <c r="K18" s="9"/>
      <c r="L18" s="9"/>
      <c r="M18" s="9"/>
      <c r="N18" s="9"/>
      <c r="O18" s="9"/>
      <c r="P18" s="4"/>
      <c r="Q18" s="4"/>
      <c r="R18" s="4"/>
    </row>
    <row r="19" spans="1:18" ht="16.5" thickBot="1" x14ac:dyDescent="0.3">
      <c r="A19" s="3"/>
      <c r="F19" s="67" t="s">
        <v>19</v>
      </c>
      <c r="G19" s="68"/>
      <c r="H19" s="69">
        <f>H15/(1+$C$55)</f>
        <v>-9.7027027027027017</v>
      </c>
      <c r="I19" s="69">
        <f>I15/(1+$C$55)^2</f>
        <v>59.638016394773146</v>
      </c>
      <c r="J19" s="69">
        <f>J15/(1+$C$55)^3</f>
        <v>142.38489768073401</v>
      </c>
      <c r="K19" s="69">
        <f>K15/(1+$C$55)^4</f>
        <v>234.50822679562003</v>
      </c>
      <c r="L19" s="69">
        <f>L15/(1+$C$55)^5</f>
        <v>230.85256661477931</v>
      </c>
      <c r="M19" s="69">
        <f>M15/(1+$C$55)^6</f>
        <v>168.12977349682802</v>
      </c>
      <c r="N19" s="69">
        <f>N15/(1+$C$55)^7</f>
        <v>158.28433631007681</v>
      </c>
      <c r="O19" s="69">
        <f>O15/(1+$C$55)^8</f>
        <v>148.30244122745933</v>
      </c>
      <c r="P19" s="69">
        <f>P15/(1+$C$55)^9</f>
        <v>121.42409734839674</v>
      </c>
      <c r="Q19" s="69">
        <f>Q15/(1+$C$55)^10</f>
        <v>112.67281105301677</v>
      </c>
      <c r="R19" s="70">
        <f>(R15/(C55-R12))/(1+C55)^10</f>
        <v>1358.7015450510846</v>
      </c>
    </row>
    <row r="20" spans="1:18" x14ac:dyDescent="0.25">
      <c r="A20" s="3"/>
      <c r="C20" s="1" t="s">
        <v>27</v>
      </c>
      <c r="G20" s="9"/>
      <c r="H20" s="10"/>
      <c r="I20" s="9"/>
      <c r="J20" s="9"/>
      <c r="K20" s="9"/>
      <c r="L20" s="9"/>
      <c r="M20" s="9"/>
      <c r="N20" s="9"/>
      <c r="O20" s="9"/>
      <c r="P20" s="4"/>
      <c r="Q20" s="4"/>
      <c r="R20" s="4"/>
    </row>
    <row r="21" spans="1:18" x14ac:dyDescent="0.25">
      <c r="A21" s="3"/>
      <c r="C21" s="1" t="s">
        <v>28</v>
      </c>
      <c r="P21" s="4"/>
      <c r="Q21" s="4"/>
      <c r="R21" s="4"/>
    </row>
    <row r="22" spans="1:18" ht="16.5" thickBot="1" x14ac:dyDescent="0.3">
      <c r="P22" s="4"/>
      <c r="Q22" s="4"/>
      <c r="R22" s="4"/>
    </row>
    <row r="23" spans="1:18" x14ac:dyDescent="0.25">
      <c r="A23" s="45" t="s">
        <v>8</v>
      </c>
      <c r="B23" s="46"/>
      <c r="C23" s="46"/>
      <c r="D23" s="47"/>
      <c r="E23" s="35"/>
      <c r="F23" s="46"/>
      <c r="G23" s="35"/>
      <c r="H23" s="35"/>
      <c r="I23" s="35"/>
      <c r="J23" s="36"/>
    </row>
    <row r="24" spans="1:18" x14ac:dyDescent="0.25">
      <c r="A24" s="48"/>
      <c r="B24" s="49"/>
      <c r="C24" s="49"/>
      <c r="D24" s="50"/>
      <c r="E24" s="49"/>
      <c r="F24" s="49"/>
      <c r="G24" s="38"/>
      <c r="H24" s="38"/>
      <c r="I24" s="38"/>
      <c r="J24" s="39"/>
    </row>
    <row r="25" spans="1:18" x14ac:dyDescent="0.25">
      <c r="A25" s="48" t="s">
        <v>9</v>
      </c>
      <c r="B25" s="49" t="s">
        <v>26</v>
      </c>
      <c r="C25" s="49"/>
      <c r="D25" s="51">
        <v>8.5000000000000006E-2</v>
      </c>
      <c r="E25" s="38"/>
      <c r="F25" s="49"/>
      <c r="G25" s="38"/>
      <c r="H25" s="38"/>
      <c r="I25" s="38"/>
      <c r="J25" s="39"/>
    </row>
    <row r="26" spans="1:18" x14ac:dyDescent="0.25">
      <c r="A26" s="48"/>
      <c r="B26" s="49" t="s">
        <v>24</v>
      </c>
      <c r="C26" s="49"/>
      <c r="D26" s="51">
        <v>0.01</v>
      </c>
      <c r="E26" s="38"/>
      <c r="F26" s="49"/>
      <c r="G26" s="38"/>
      <c r="H26" s="38"/>
      <c r="I26" s="38"/>
      <c r="J26" s="39"/>
      <c r="M26" s="38"/>
      <c r="N26" s="38"/>
      <c r="O26" s="38"/>
    </row>
    <row r="27" spans="1:18" x14ac:dyDescent="0.25">
      <c r="A27" s="48"/>
      <c r="B27" s="49"/>
      <c r="C27" s="49"/>
      <c r="D27" s="52"/>
      <c r="E27" s="38"/>
      <c r="F27" s="49"/>
      <c r="G27" s="38"/>
      <c r="H27" s="38"/>
      <c r="I27" s="38"/>
      <c r="J27" s="39"/>
      <c r="M27" s="38"/>
      <c r="N27" s="38"/>
      <c r="O27" s="38"/>
    </row>
    <row r="28" spans="1:18" x14ac:dyDescent="0.25">
      <c r="A28" s="48"/>
      <c r="B28" s="49"/>
      <c r="C28" s="49"/>
      <c r="D28" s="52"/>
      <c r="E28" s="38"/>
      <c r="F28" s="49"/>
      <c r="G28" s="38"/>
      <c r="H28" s="38"/>
      <c r="I28" s="38"/>
      <c r="J28" s="39"/>
      <c r="M28" s="38"/>
      <c r="N28" s="38"/>
      <c r="O28" s="38"/>
    </row>
    <row r="29" spans="1:18" x14ac:dyDescent="0.25">
      <c r="A29" s="48"/>
      <c r="B29" s="49"/>
      <c r="C29" s="49"/>
      <c r="D29" s="52"/>
      <c r="E29" s="38"/>
      <c r="F29" s="49"/>
      <c r="G29" s="38"/>
      <c r="H29" s="38"/>
      <c r="I29" s="38"/>
      <c r="J29" s="39"/>
      <c r="M29" s="38"/>
      <c r="N29" s="38"/>
      <c r="O29" s="38"/>
    </row>
    <row r="30" spans="1:18" x14ac:dyDescent="0.25">
      <c r="A30" s="48"/>
      <c r="B30" s="49" t="s">
        <v>10</v>
      </c>
      <c r="C30" s="49"/>
      <c r="D30" s="53">
        <f>D25+D26</f>
        <v>9.5000000000000001E-2</v>
      </c>
      <c r="E30" s="38"/>
      <c r="F30" s="49"/>
      <c r="G30" s="38"/>
      <c r="H30" s="38"/>
      <c r="I30" s="38"/>
      <c r="J30" s="39"/>
      <c r="M30" s="38"/>
      <c r="N30" s="38"/>
      <c r="O30" s="38"/>
      <c r="R30" s="6"/>
    </row>
    <row r="31" spans="1:18" x14ac:dyDescent="0.25">
      <c r="A31" s="48"/>
      <c r="B31" s="49"/>
      <c r="C31" s="49"/>
      <c r="D31" s="50"/>
      <c r="E31" s="38"/>
      <c r="F31" s="49"/>
      <c r="G31" s="38"/>
      <c r="H31" s="38"/>
      <c r="I31" s="38"/>
      <c r="J31" s="39"/>
      <c r="M31" s="38"/>
      <c r="N31" s="40"/>
      <c r="O31" s="38"/>
      <c r="R31" s="6"/>
    </row>
    <row r="32" spans="1:18" x14ac:dyDescent="0.25">
      <c r="A32" s="37"/>
      <c r="B32" s="38"/>
      <c r="C32" s="54"/>
      <c r="D32" s="38"/>
      <c r="E32" s="49"/>
      <c r="F32" s="49"/>
      <c r="G32" s="38"/>
      <c r="H32" s="38"/>
      <c r="I32" s="38"/>
      <c r="J32" s="39"/>
      <c r="M32" s="38"/>
      <c r="N32" s="38"/>
      <c r="O32" s="38"/>
      <c r="P32" s="2"/>
      <c r="Q32" s="2"/>
      <c r="R32" s="2"/>
    </row>
    <row r="33" spans="1:1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9"/>
      <c r="M33" s="38"/>
      <c r="N33" s="38"/>
      <c r="O33" s="38"/>
    </row>
    <row r="34" spans="1:15" x14ac:dyDescent="0.25">
      <c r="A34" s="48" t="s">
        <v>11</v>
      </c>
      <c r="B34" s="49" t="s">
        <v>12</v>
      </c>
      <c r="C34" s="55"/>
      <c r="D34" s="40">
        <v>1.4999999999999999E-2</v>
      </c>
      <c r="E34" s="38"/>
      <c r="F34" s="38" t="s">
        <v>34</v>
      </c>
      <c r="G34" s="38"/>
      <c r="H34" s="38"/>
      <c r="I34" s="38"/>
      <c r="J34" s="39"/>
    </row>
    <row r="35" spans="1:15" ht="15.75" hidden="1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9"/>
    </row>
    <row r="36" spans="1:15" ht="15.75" hidden="1" customHeight="1" x14ac:dyDescent="0.25">
      <c r="A36" s="37"/>
      <c r="B36" s="38" t="s">
        <v>13</v>
      </c>
      <c r="C36" s="38"/>
      <c r="D36" s="56">
        <v>0.08</v>
      </c>
      <c r="E36" s="38"/>
      <c r="F36" s="38"/>
      <c r="G36" s="38"/>
      <c r="H36" s="38"/>
      <c r="I36" s="38"/>
      <c r="J36" s="39"/>
    </row>
    <row r="37" spans="1:15" ht="15.75" hidden="1" customHeight="1" x14ac:dyDescent="0.25">
      <c r="A37" s="37"/>
      <c r="B37" s="38"/>
      <c r="C37" s="38"/>
      <c r="D37" s="38"/>
      <c r="E37" s="38"/>
      <c r="F37" s="38"/>
      <c r="G37" s="38"/>
      <c r="H37" s="38"/>
      <c r="I37" s="38"/>
      <c r="J37" s="39"/>
    </row>
    <row r="38" spans="1:15" ht="15.75" hidden="1" customHeight="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9"/>
    </row>
    <row r="39" spans="1:15" ht="15.75" hidden="1" customHeight="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9"/>
    </row>
    <row r="40" spans="1:15" hidden="1" x14ac:dyDescent="0.25">
      <c r="A40" s="37"/>
      <c r="B40" s="57"/>
      <c r="C40" s="57">
        <v>0.12</v>
      </c>
      <c r="D40" s="57" t="e">
        <f>((NPV(C40,$H$15:$R$15)+(#REF!*(1+#REF!)/(C40-#REF!))/(1+C40)^(2040-2020))/$D$50)/$C$51-1</f>
        <v>#REF!</v>
      </c>
      <c r="E40" s="38"/>
      <c r="F40" s="38"/>
      <c r="G40" s="38"/>
      <c r="H40" s="38"/>
      <c r="I40" s="38"/>
      <c r="J40" s="39"/>
    </row>
    <row r="41" spans="1:15" hidden="1" x14ac:dyDescent="0.25">
      <c r="A41" s="37"/>
      <c r="B41" s="57"/>
      <c r="C41" s="57">
        <v>0.14000000000000001</v>
      </c>
      <c r="D41" s="57" t="e">
        <f>((NPV(C41,$H$15:$R$15)+(#REF!*(1+#REF!)/(C41-#REF!))/(1+C41)^(2040-2020))/$D$50)/$C$51-1</f>
        <v>#REF!</v>
      </c>
      <c r="E41" s="38"/>
      <c r="F41" s="38"/>
      <c r="G41" s="38"/>
      <c r="H41" s="38"/>
      <c r="I41" s="38"/>
      <c r="J41" s="39"/>
    </row>
    <row r="42" spans="1:15" hidden="1" x14ac:dyDescent="0.25">
      <c r="A42" s="37"/>
      <c r="B42" s="57"/>
      <c r="C42" s="57">
        <v>0.16</v>
      </c>
      <c r="D42" s="57" t="e">
        <f>((NPV(C42,$H$15:$R$15)+(#REF!*(1+#REF!)/(C42-#REF!))/(1+C42)^(2040-2020))/$D$50)/$C$51-1</f>
        <v>#REF!</v>
      </c>
      <c r="E42" s="38"/>
      <c r="F42" s="38"/>
      <c r="G42" s="38"/>
      <c r="H42" s="38"/>
      <c r="I42" s="38"/>
      <c r="J42" s="39"/>
    </row>
    <row r="43" spans="1:15" hidden="1" x14ac:dyDescent="0.25">
      <c r="A43" s="37"/>
      <c r="B43" s="57"/>
      <c r="C43" s="57">
        <v>0.18</v>
      </c>
      <c r="D43" s="57" t="e">
        <f>((NPV(C43,$H$15:$R$15)+(#REF!*(1+#REF!)/(C43-#REF!))/(1+C43)^(2040-2020))/$D$50)/$C$51-1</f>
        <v>#REF!</v>
      </c>
      <c r="E43" s="38"/>
      <c r="F43" s="38"/>
      <c r="G43" s="38"/>
      <c r="H43" s="38"/>
      <c r="I43" s="38"/>
      <c r="J43" s="39"/>
    </row>
    <row r="44" spans="1:15" hidden="1" x14ac:dyDescent="0.25">
      <c r="A44" s="37"/>
      <c r="B44" s="57"/>
      <c r="C44" s="57">
        <v>0.2</v>
      </c>
      <c r="D44" s="57" t="e">
        <f>((NPV(C44,$H$15:$R$15)+(#REF!*(1+#REF!)/(C44-#REF!))/(1+C44)^(2040-2020))/$D$50)/$C$51-1</f>
        <v>#REF!</v>
      </c>
      <c r="E44" s="38"/>
      <c r="F44" s="38"/>
      <c r="G44" s="38"/>
      <c r="H44" s="38"/>
      <c r="I44" s="38"/>
      <c r="J44" s="39"/>
    </row>
    <row r="45" spans="1:15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9"/>
    </row>
    <row r="46" spans="1:15" ht="16.5" thickBot="1" x14ac:dyDescent="0.3">
      <c r="A46" s="41"/>
      <c r="B46" s="42" t="s">
        <v>16</v>
      </c>
      <c r="C46" s="42"/>
      <c r="D46" s="58">
        <f>D30+D34</f>
        <v>0.11</v>
      </c>
      <c r="E46" s="42"/>
      <c r="F46" s="42"/>
      <c r="G46" s="42"/>
      <c r="H46" s="42"/>
      <c r="I46" s="42"/>
      <c r="J46" s="43"/>
    </row>
    <row r="48" spans="1:15" x14ac:dyDescent="0.25">
      <c r="A48" s="27"/>
      <c r="B48" s="28"/>
      <c r="C48" s="29">
        <v>44449</v>
      </c>
      <c r="D48" s="30" t="s">
        <v>3</v>
      </c>
      <c r="E48" s="31"/>
      <c r="F48" s="32"/>
      <c r="G48" s="33"/>
      <c r="H48" s="33"/>
      <c r="I48" s="33"/>
    </row>
    <row r="49" spans="1:8" x14ac:dyDescent="0.25">
      <c r="A49" s="59" t="s">
        <v>0</v>
      </c>
      <c r="B49" s="60" t="s">
        <v>6</v>
      </c>
      <c r="C49" s="61">
        <f>C50*C51</f>
        <v>2230.2792199999999</v>
      </c>
      <c r="D49" s="62">
        <f>SUM(H19:R19)</f>
        <v>2725.1960092700665</v>
      </c>
      <c r="E49" s="60" t="s">
        <v>22</v>
      </c>
    </row>
    <row r="50" spans="1:8" x14ac:dyDescent="0.25">
      <c r="A50" s="59"/>
      <c r="B50" s="60" t="s">
        <v>18</v>
      </c>
      <c r="C50" s="61">
        <v>72.552999999999997</v>
      </c>
      <c r="D50" s="61">
        <f>C50*1.05</f>
        <v>76.18065</v>
      </c>
      <c r="E50" s="60"/>
    </row>
    <row r="51" spans="1:8" x14ac:dyDescent="0.25">
      <c r="A51" s="59"/>
      <c r="B51" s="60" t="s">
        <v>20</v>
      </c>
      <c r="C51" s="75">
        <v>30.74</v>
      </c>
      <c r="D51" s="63">
        <f>D49/(D50)</f>
        <v>35.772811196413613</v>
      </c>
      <c r="E51" s="60" t="s">
        <v>22</v>
      </c>
      <c r="F51" s="74"/>
      <c r="G51" s="12"/>
      <c r="H51" s="12"/>
    </row>
    <row r="52" spans="1:8" x14ac:dyDescent="0.25">
      <c r="A52" s="59"/>
      <c r="B52" s="60" t="s">
        <v>2</v>
      </c>
      <c r="C52" s="60"/>
      <c r="D52" s="76">
        <f>IF(C51/D51-1&gt;0,0,C51/D51-1)</f>
        <v>-0.1406881659028848</v>
      </c>
      <c r="E52" s="60"/>
      <c r="F52" s="5"/>
    </row>
    <row r="53" spans="1:8" x14ac:dyDescent="0.25">
      <c r="A53" s="59"/>
      <c r="B53" s="60" t="s">
        <v>25</v>
      </c>
      <c r="C53" s="60"/>
      <c r="D53" s="77">
        <f>IF(C51/D51-1&lt;0,0,C51/D51-1)</f>
        <v>0</v>
      </c>
      <c r="E53" s="60"/>
      <c r="F53" s="5"/>
    </row>
    <row r="54" spans="1:8" x14ac:dyDescent="0.25">
      <c r="A54" s="60"/>
      <c r="B54" s="60"/>
      <c r="C54" s="60"/>
      <c r="D54" s="64"/>
      <c r="E54" s="64"/>
    </row>
    <row r="55" spans="1:8" x14ac:dyDescent="0.25">
      <c r="A55" s="64" t="s">
        <v>4</v>
      </c>
      <c r="B55" s="60"/>
      <c r="C55" s="66">
        <f>D46</f>
        <v>0.11</v>
      </c>
      <c r="D55" s="65"/>
      <c r="E55" s="60"/>
    </row>
  </sheetData>
  <conditionalFormatting sqref="L6:L8">
    <cfRule type="top10" dxfId="3" priority="5" percent="1" rank="10"/>
  </conditionalFormatting>
  <conditionalFormatting sqref="G6:J8">
    <cfRule type="top10" dxfId="2" priority="4" percent="1" rank="10"/>
  </conditionalFormatting>
  <conditionalFormatting sqref="L9">
    <cfRule type="top10" dxfId="1" priority="3" percent="1" rank="10"/>
  </conditionalFormatting>
  <conditionalFormatting sqref="L2:L5">
    <cfRule type="top10" dxfId="0" priority="2" percent="1" rank="10"/>
  </conditionalFormatting>
  <conditionalFormatting sqref="C32">
    <cfRule type="colorScale" priority="1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6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2021-09-10T20:50:50Z</dcterms:modified>
</cp:coreProperties>
</file>