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ris_grca1ny\Desktop\CS-Research\Aktienanalysen\Tattoed Chef\"/>
    </mc:Choice>
  </mc:AlternateContent>
  <bookViews>
    <workbookView xWindow="0" yWindow="0" windowWidth="24000" windowHeight="9630"/>
  </bookViews>
  <sheets>
    <sheet name="Pessimistisch" sheetId="13" r:id="rId1"/>
    <sheet name="Optimistisch" sheetId="10" r:id="rId2"/>
    <sheet name="Perfekt" sheetId="12" r:id="rId3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3" l="1"/>
  <c r="I14" i="13"/>
  <c r="J14" i="13"/>
  <c r="I11" i="13"/>
  <c r="J11" i="13"/>
  <c r="D30" i="13"/>
  <c r="D46" i="13"/>
  <c r="C55" i="13"/>
  <c r="H14" i="13"/>
  <c r="H15" i="13"/>
  <c r="H19" i="13"/>
  <c r="I15" i="13"/>
  <c r="I19" i="13"/>
  <c r="J19" i="13"/>
  <c r="K11" i="13"/>
  <c r="K14" i="13"/>
  <c r="K15" i="13"/>
  <c r="K19" i="13"/>
  <c r="L11" i="13"/>
  <c r="L14" i="13"/>
  <c r="L15" i="13"/>
  <c r="L19" i="13"/>
  <c r="M11" i="13"/>
  <c r="M14" i="13"/>
  <c r="M15" i="13"/>
  <c r="M19" i="13"/>
  <c r="N11" i="13"/>
  <c r="N14" i="13"/>
  <c r="N15" i="13"/>
  <c r="N19" i="13"/>
  <c r="O11" i="13"/>
  <c r="O14" i="13"/>
  <c r="O15" i="13"/>
  <c r="O19" i="13"/>
  <c r="P11" i="13"/>
  <c r="P14" i="13"/>
  <c r="P15" i="13"/>
  <c r="P19" i="13"/>
  <c r="Q11" i="13"/>
  <c r="Q14" i="13"/>
  <c r="Q15" i="13"/>
  <c r="Q19" i="13"/>
  <c r="R11" i="13"/>
  <c r="R14" i="13"/>
  <c r="R15" i="13"/>
  <c r="R19" i="13"/>
  <c r="D49" i="13"/>
  <c r="D50" i="13"/>
  <c r="D51" i="13"/>
  <c r="D53" i="13"/>
  <c r="D52" i="13"/>
  <c r="C49" i="13"/>
  <c r="D44" i="13"/>
  <c r="D43" i="13"/>
  <c r="D42" i="13"/>
  <c r="D41" i="13"/>
  <c r="D40" i="13"/>
  <c r="G16" i="13"/>
  <c r="F16" i="13"/>
  <c r="G13" i="13"/>
  <c r="F13" i="13"/>
  <c r="H12" i="13"/>
  <c r="G12" i="13"/>
  <c r="D30" i="10"/>
  <c r="D46" i="10"/>
  <c r="L11" i="10"/>
  <c r="L14" i="10"/>
  <c r="L15" i="10"/>
  <c r="M11" i="10"/>
  <c r="M14" i="10"/>
  <c r="M15" i="10"/>
  <c r="N11" i="10"/>
  <c r="N14" i="10"/>
  <c r="N15" i="10"/>
  <c r="O11" i="10"/>
  <c r="O14" i="10"/>
  <c r="O15" i="10"/>
  <c r="P11" i="10"/>
  <c r="P14" i="10"/>
  <c r="P15" i="10"/>
  <c r="Q11" i="10"/>
  <c r="Q14" i="10"/>
  <c r="Q15" i="10"/>
  <c r="R11" i="10"/>
  <c r="R14" i="10"/>
  <c r="R15" i="10"/>
  <c r="D44" i="10"/>
  <c r="D43" i="10"/>
  <c r="D42" i="10"/>
  <c r="D41" i="10"/>
  <c r="D40" i="10"/>
  <c r="D30" i="12"/>
  <c r="D46" i="12"/>
  <c r="C55" i="12"/>
  <c r="H14" i="12"/>
  <c r="H15" i="12"/>
  <c r="H19" i="12"/>
  <c r="I14" i="12"/>
  <c r="I15" i="12"/>
  <c r="I19" i="12"/>
  <c r="J15" i="12"/>
  <c r="J19" i="12"/>
  <c r="K11" i="12"/>
  <c r="K14" i="12"/>
  <c r="K15" i="12"/>
  <c r="K19" i="12"/>
  <c r="L11" i="12"/>
  <c r="L14" i="12"/>
  <c r="L15" i="12"/>
  <c r="L19" i="12"/>
  <c r="M11" i="12"/>
  <c r="M14" i="12"/>
  <c r="M15" i="12"/>
  <c r="M19" i="12"/>
  <c r="N11" i="12"/>
  <c r="N14" i="12"/>
  <c r="N15" i="12"/>
  <c r="N19" i="12"/>
  <c r="O11" i="12"/>
  <c r="O14" i="12"/>
  <c r="O15" i="12"/>
  <c r="O19" i="12"/>
  <c r="P11" i="12"/>
  <c r="P14" i="12"/>
  <c r="P15" i="12"/>
  <c r="P19" i="12"/>
  <c r="Q11" i="12"/>
  <c r="Q14" i="12"/>
  <c r="Q15" i="12"/>
  <c r="Q19" i="12"/>
  <c r="R11" i="12"/>
  <c r="R14" i="12"/>
  <c r="R15" i="12"/>
  <c r="R19" i="12"/>
  <c r="D49" i="12"/>
  <c r="D50" i="12"/>
  <c r="D51" i="12"/>
  <c r="D53" i="12"/>
  <c r="D52" i="12"/>
  <c r="C49" i="12"/>
  <c r="D44" i="12"/>
  <c r="D43" i="12"/>
  <c r="D42" i="12"/>
  <c r="D41" i="12"/>
  <c r="D40" i="12"/>
  <c r="G16" i="12"/>
  <c r="F16" i="12"/>
  <c r="J13" i="12"/>
  <c r="G13" i="12"/>
  <c r="F13" i="12"/>
  <c r="J12" i="12"/>
  <c r="I12" i="12"/>
  <c r="H12" i="12"/>
  <c r="G12" i="12"/>
  <c r="C55" i="10"/>
  <c r="R19" i="10"/>
  <c r="G16" i="10"/>
  <c r="J15" i="10"/>
  <c r="K15" i="10"/>
  <c r="K14" i="10"/>
  <c r="K11" i="10"/>
  <c r="J13" i="10"/>
  <c r="I15" i="10"/>
  <c r="I14" i="10"/>
  <c r="H15" i="10"/>
  <c r="H14" i="10"/>
  <c r="D50" i="10"/>
  <c r="H12" i="10"/>
  <c r="H19" i="10"/>
  <c r="I19" i="10"/>
  <c r="J19" i="10"/>
  <c r="K19" i="10"/>
  <c r="L19" i="10"/>
  <c r="C49" i="10"/>
  <c r="F16" i="10"/>
  <c r="G13" i="10"/>
  <c r="F13" i="10"/>
  <c r="J12" i="10"/>
  <c r="I12" i="10"/>
  <c r="G12" i="10"/>
  <c r="M19" i="10"/>
  <c r="N19" i="10"/>
  <c r="O19" i="10"/>
  <c r="P19" i="10"/>
  <c r="Q19" i="10"/>
  <c r="D49" i="10"/>
  <c r="D51" i="10"/>
  <c r="D52" i="10"/>
  <c r="D53" i="10"/>
</calcChain>
</file>

<file path=xl/sharedStrings.xml><?xml version="1.0" encoding="utf-8"?>
<sst xmlns="http://schemas.openxmlformats.org/spreadsheetml/2006/main" count="110" uniqueCount="41">
  <si>
    <t>Bewertung</t>
  </si>
  <si>
    <t>Umsatz-Wachstum, %</t>
  </si>
  <si>
    <t>Unterbewertung</t>
  </si>
  <si>
    <t>Fairer Wert</t>
  </si>
  <si>
    <t>Diskontierungsfaktor (WACC)</t>
  </si>
  <si>
    <t>Umsatz</t>
  </si>
  <si>
    <t>Marktkapitalisierung, Mio.</t>
  </si>
  <si>
    <t>Verhältnis EBIT zu Konzerngewinn:</t>
  </si>
  <si>
    <t>Bestimmung des WACC:</t>
  </si>
  <si>
    <t>Branche</t>
  </si>
  <si>
    <t>Gesamt Branche:</t>
  </si>
  <si>
    <t>EK Quote:</t>
  </si>
  <si>
    <t>Durschn. 5 Jahre</t>
  </si>
  <si>
    <t>Vereinfachter WACC:</t>
  </si>
  <si>
    <t>Schätzungen »</t>
  </si>
  <si>
    <t>Gewinn (30% Zinsen/Steuern/sonstiges)</t>
  </si>
  <si>
    <t>WACC gesamt</t>
  </si>
  <si>
    <t>Discounted Net-Profit Modell</t>
  </si>
  <si>
    <t>Anzahl Aktien gesamt, Mio.</t>
  </si>
  <si>
    <t>Abgezinster Gewinn:</t>
  </si>
  <si>
    <t xml:space="preserve">Kurs pro Aktie </t>
  </si>
  <si>
    <t>2031ff.</t>
  </si>
  <si>
    <t>USD</t>
  </si>
  <si>
    <t>Alle Angaben in Mio. USD</t>
  </si>
  <si>
    <t>Sicherheitszuschlag</t>
  </si>
  <si>
    <t>Überbewertung</t>
  </si>
  <si>
    <t>Chiphersteller/Chipfertiger</t>
  </si>
  <si>
    <t xml:space="preserve">25 % Abschlag vom EBIT scheinen durchaus realistisch </t>
  </si>
  <si>
    <t xml:space="preserve">im Bezug auf die Werte der Vergangenheit. </t>
  </si>
  <si>
    <t>EKQ: ist größer als 85 %</t>
  </si>
  <si>
    <t>Veganes Essen</t>
  </si>
  <si>
    <t>Sicherheitszuschlag I.</t>
  </si>
  <si>
    <t>Sicherheitszuschlag II.</t>
  </si>
  <si>
    <t>&gt; schwacher Burggraben</t>
  </si>
  <si>
    <t xml:space="preserve"> &gt; kleines Unternehmen</t>
  </si>
  <si>
    <t>5 % Erhöhung der Aktienanzahl bis 2031</t>
  </si>
  <si>
    <t>Pessimistische Annahmen für Tattoed Chef</t>
  </si>
  <si>
    <t>Optimistische Annahmen für Tattoed Chef</t>
  </si>
  <si>
    <t>EBIT Marge, %</t>
  </si>
  <si>
    <t>EBIT</t>
  </si>
  <si>
    <t>10x Annahmen für Tattoed Chef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</si>
</sst>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dd\.mm\.yy;@"/>
    <numFmt numFmtId="165" formatCode="#,##0.0"/>
    <numFmt numFmtId="166" formatCode="0.0%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theme="5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2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2F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5117038483843"/>
        <bgColor theme="0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9" fontId="0" fillId="2" borderId="0" xfId="1" applyFont="1" applyFill="1"/>
    <xf numFmtId="0" fontId="0" fillId="2" borderId="0" xfId="0" applyFill="1" applyAlignment="1">
      <alignment wrapText="1"/>
    </xf>
    <xf numFmtId="0" fontId="5" fillId="2" borderId="0" xfId="0" applyFont="1" applyFill="1"/>
    <xf numFmtId="38" fontId="0" fillId="2" borderId="0" xfId="0" applyNumberFormat="1" applyFill="1"/>
    <xf numFmtId="3" fontId="4" fillId="2" borderId="0" xfId="0" quotePrefix="1" applyNumberFormat="1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7" fillId="2" borderId="0" xfId="0" applyFont="1" applyFill="1"/>
    <xf numFmtId="9" fontId="7" fillId="2" borderId="0" xfId="1" applyFont="1" applyFill="1"/>
    <xf numFmtId="0" fontId="0" fillId="4" borderId="0" xfId="0" applyFill="1"/>
    <xf numFmtId="44" fontId="3" fillId="2" borderId="0" xfId="3" applyFont="1" applyFill="1"/>
    <xf numFmtId="0" fontId="3" fillId="4" borderId="0" xfId="0" applyFont="1" applyFill="1"/>
    <xf numFmtId="0" fontId="2" fillId="4" borderId="0" xfId="0" applyFont="1" applyFill="1"/>
    <xf numFmtId="0" fontId="3" fillId="5" borderId="0" xfId="0" applyFont="1" applyFill="1"/>
    <xf numFmtId="3" fontId="0" fillId="5" borderId="0" xfId="0" applyNumberFormat="1" applyFont="1" applyFill="1"/>
    <xf numFmtId="9" fontId="0" fillId="5" borderId="0" xfId="1" applyFont="1" applyFill="1"/>
    <xf numFmtId="3" fontId="0" fillId="5" borderId="0" xfId="0" applyNumberFormat="1" applyFill="1"/>
    <xf numFmtId="9" fontId="1" fillId="6" borderId="0" xfId="1" applyFont="1" applyFill="1"/>
    <xf numFmtId="3" fontId="0" fillId="7" borderId="0" xfId="0" applyNumberFormat="1" applyFont="1" applyFill="1"/>
    <xf numFmtId="9" fontId="1" fillId="7" borderId="0" xfId="1" applyFont="1" applyFill="1"/>
    <xf numFmtId="166" fontId="1" fillId="7" borderId="0" xfId="1" applyNumberFormat="1" applyFont="1" applyFill="1"/>
    <xf numFmtId="0" fontId="0" fillId="2" borderId="1" xfId="0" applyFill="1" applyBorder="1" applyAlignment="1">
      <alignment wrapText="1"/>
    </xf>
    <xf numFmtId="0" fontId="6" fillId="2" borderId="2" xfId="0" applyFont="1" applyFill="1" applyBorder="1"/>
    <xf numFmtId="9" fontId="0" fillId="2" borderId="2" xfId="1" applyFont="1" applyFill="1" applyBorder="1"/>
    <xf numFmtId="9" fontId="0" fillId="2" borderId="3" xfId="1" applyFont="1" applyFill="1" applyBorder="1"/>
    <xf numFmtId="0" fontId="0" fillId="6" borderId="0" xfId="0" applyFill="1" applyAlignment="1">
      <alignment wrapText="1"/>
    </xf>
    <xf numFmtId="0" fontId="0" fillId="6" borderId="0" xfId="0" applyFill="1"/>
    <xf numFmtId="164" fontId="3" fillId="6" borderId="0" xfId="0" applyNumberFormat="1" applyFont="1" applyFill="1"/>
    <xf numFmtId="0" fontId="3" fillId="6" borderId="0" xfId="0" applyFont="1" applyFill="1" applyAlignment="1">
      <alignment horizontal="right"/>
    </xf>
    <xf numFmtId="0" fontId="5" fillId="6" borderId="0" xfId="0" applyFont="1" applyFill="1"/>
    <xf numFmtId="0" fontId="8" fillId="6" borderId="0" xfId="0" applyFont="1" applyFill="1"/>
    <xf numFmtId="4" fontId="3" fillId="6" borderId="0" xfId="0" applyNumberFormat="1" applyFont="1" applyFill="1"/>
    <xf numFmtId="0" fontId="3" fillId="2" borderId="0" xfId="0" applyFont="1" applyFill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0" xfId="0" applyFill="1" applyBorder="1"/>
    <xf numFmtId="0" fontId="0" fillId="2" borderId="8" xfId="0" applyFill="1" applyBorder="1"/>
    <xf numFmtId="10" fontId="0" fillId="2" borderId="0" xfId="0" applyNumberForma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9" fillId="2" borderId="0" xfId="0" applyFont="1" applyFill="1"/>
    <xf numFmtId="4" fontId="3" fillId="2" borderId="4" xfId="0" applyNumberFormat="1" applyFont="1" applyFill="1" applyBorder="1"/>
    <xf numFmtId="4" fontId="0" fillId="2" borderId="5" xfId="0" applyNumberFormat="1" applyFill="1" applyBorder="1"/>
    <xf numFmtId="3" fontId="0" fillId="2" borderId="5" xfId="0" applyNumberFormat="1" applyFill="1" applyBorder="1"/>
    <xf numFmtId="4" fontId="0" fillId="2" borderId="7" xfId="0" applyNumberFormat="1" applyFill="1" applyBorder="1"/>
    <xf numFmtId="4" fontId="0" fillId="2" borderId="0" xfId="0" applyNumberFormat="1" applyFill="1" applyBorder="1"/>
    <xf numFmtId="3" fontId="0" fillId="2" borderId="0" xfId="0" applyNumberFormat="1" applyFill="1" applyBorder="1"/>
    <xf numFmtId="166" fontId="1" fillId="2" borderId="0" xfId="1" applyNumberFormat="1" applyFont="1" applyFill="1" applyBorder="1"/>
    <xf numFmtId="3" fontId="3" fillId="2" borderId="0" xfId="0" applyNumberFormat="1" applyFont="1" applyFill="1" applyBorder="1"/>
    <xf numFmtId="166" fontId="3" fillId="2" borderId="0" xfId="1" applyNumberFormat="1" applyFont="1" applyFill="1" applyBorder="1"/>
    <xf numFmtId="9" fontId="0" fillId="2" borderId="0" xfId="1" applyNumberFormat="1" applyFont="1" applyFill="1" applyBorder="1"/>
    <xf numFmtId="9" fontId="0" fillId="2" borderId="0" xfId="0" applyNumberFormat="1" applyFill="1" applyBorder="1"/>
    <xf numFmtId="9" fontId="3" fillId="2" borderId="0" xfId="0" applyNumberFormat="1" applyFont="1" applyFill="1" applyBorder="1"/>
    <xf numFmtId="9" fontId="0" fillId="2" borderId="0" xfId="1" applyFont="1" applyFill="1" applyBorder="1"/>
    <xf numFmtId="10" fontId="3" fillId="2" borderId="10" xfId="0" applyNumberFormat="1" applyFont="1" applyFill="1" applyBorder="1"/>
    <xf numFmtId="0" fontId="3" fillId="8" borderId="0" xfId="0" applyFont="1" applyFill="1" applyAlignment="1">
      <alignment vertical="center" wrapText="1"/>
    </xf>
    <xf numFmtId="0" fontId="0" fillId="8" borderId="0" xfId="0" applyFill="1"/>
    <xf numFmtId="3" fontId="0" fillId="8" borderId="0" xfId="0" applyNumberFormat="1" applyFont="1" applyFill="1"/>
    <xf numFmtId="4" fontId="7" fillId="8" borderId="0" xfId="0" applyNumberFormat="1" applyFont="1" applyFill="1"/>
    <xf numFmtId="165" fontId="0" fillId="8" borderId="0" xfId="0" applyNumberFormat="1" applyFill="1"/>
    <xf numFmtId="0" fontId="3" fillId="8" borderId="0" xfId="0" applyFont="1" applyFill="1"/>
    <xf numFmtId="1" fontId="1" fillId="8" borderId="0" xfId="1" applyNumberFormat="1" applyFont="1" applyFill="1"/>
    <xf numFmtId="10" fontId="3" fillId="8" borderId="0" xfId="1" applyNumberFormat="1" applyFont="1" applyFill="1"/>
    <xf numFmtId="0" fontId="0" fillId="2" borderId="1" xfId="0" applyFill="1" applyBorder="1"/>
    <xf numFmtId="0" fontId="7" fillId="2" borderId="2" xfId="0" applyFont="1" applyFill="1" applyBorder="1"/>
    <xf numFmtId="2" fontId="5" fillId="2" borderId="2" xfId="0" applyNumberFormat="1" applyFont="1" applyFill="1" applyBorder="1"/>
    <xf numFmtId="2" fontId="5" fillId="2" borderId="3" xfId="0" applyNumberFormat="1" applyFont="1" applyFill="1" applyBorder="1"/>
    <xf numFmtId="0" fontId="8" fillId="7" borderId="0" xfId="0" applyFont="1" applyFill="1" applyAlignment="1">
      <alignment horizontal="right" vertical="center"/>
    </xf>
    <xf numFmtId="0" fontId="3" fillId="7" borderId="0" xfId="0" applyFont="1" applyFill="1"/>
    <xf numFmtId="9" fontId="0" fillId="7" borderId="0" xfId="1" applyFont="1" applyFill="1"/>
    <xf numFmtId="44" fontId="0" fillId="2" borderId="0" xfId="3" applyFont="1" applyFill="1"/>
    <xf numFmtId="4" fontId="0" fillId="8" borderId="0" xfId="0" applyNumberFormat="1" applyFill="1"/>
    <xf numFmtId="9" fontId="0" fillId="9" borderId="0" xfId="1" applyFont="1" applyFill="1"/>
    <xf numFmtId="9" fontId="3" fillId="8" borderId="0" xfId="1" applyFont="1" applyFill="1"/>
  </cellXfs>
  <cellStyles count="4">
    <cellStyle name="Prozent" xfId="1" builtinId="5"/>
    <cellStyle name="Prozent 2" xfId="2"/>
    <cellStyle name="Standard" xfId="0" builtinId="0"/>
    <cellStyle name="Währung" xfId="3" builtinId="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CCFF"/>
      <color rgb="FF9966FF"/>
      <color rgb="FF9900CC"/>
      <color rgb="FFFFEB7D"/>
      <color rgb="FFFFD802"/>
      <color rgb="FFFFFAE0"/>
      <color rgb="FFCBD5E0"/>
      <color rgb="FFFFE1E2"/>
      <color rgb="FF9CF5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15</xdr:row>
      <xdr:rowOff>19845</xdr:rowOff>
    </xdr:from>
    <xdr:to>
      <xdr:col>2</xdr:col>
      <xdr:colOff>952500</xdr:colOff>
      <xdr:row>18</xdr:row>
      <xdr:rowOff>142875</xdr:rowOff>
    </xdr:to>
    <xdr:cxnSp macro="">
      <xdr:nvCxnSpPr>
        <xdr:cNvPr id="2" name="Gerade Verbindung mit Pfeil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 flipV="1">
          <a:off x="2221707" y="3172620"/>
          <a:ext cx="3264693" cy="94218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1071563</xdr:colOff>
      <xdr:row>16</xdr:row>
      <xdr:rowOff>23812</xdr:rowOff>
    </xdr:from>
    <xdr:to>
      <xdr:col>4</xdr:col>
      <xdr:colOff>797718</xdr:colOff>
      <xdr:row>18</xdr:row>
      <xdr:rowOff>166687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H="1">
          <a:off x="5605463" y="3586162"/>
          <a:ext cx="2174080" cy="5524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tabSelected="1"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4" t="s">
        <v>17</v>
      </c>
    </row>
    <row r="4" spans="1:28" x14ac:dyDescent="0.25">
      <c r="B4" s="34" t="s">
        <v>36</v>
      </c>
    </row>
    <row r="6" spans="1:28" x14ac:dyDescent="0.25">
      <c r="B6" s="1" t="s">
        <v>23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2">
        <v>2021</v>
      </c>
      <c r="I10" s="72">
        <v>2022</v>
      </c>
      <c r="J10" s="72">
        <v>2023</v>
      </c>
      <c r="K10" s="72">
        <v>2024</v>
      </c>
      <c r="L10" s="72">
        <v>2025</v>
      </c>
      <c r="M10" s="72">
        <v>2026</v>
      </c>
      <c r="N10" s="72">
        <v>2027</v>
      </c>
      <c r="O10" s="72">
        <v>2028</v>
      </c>
      <c r="P10" s="72">
        <v>2029</v>
      </c>
      <c r="Q10" s="72">
        <v>2030</v>
      </c>
      <c r="R10" s="71" t="s">
        <v>21</v>
      </c>
    </row>
    <row r="11" spans="1:28" x14ac:dyDescent="0.25">
      <c r="A11" s="8"/>
      <c r="B11" s="7" t="s">
        <v>5</v>
      </c>
      <c r="C11" s="16"/>
      <c r="D11" s="16"/>
      <c r="E11" s="16"/>
      <c r="F11" s="16">
        <v>84.918999999999997</v>
      </c>
      <c r="G11" s="16">
        <v>148.49199999999999</v>
      </c>
      <c r="H11" s="20">
        <v>239.4</v>
      </c>
      <c r="I11" s="20">
        <f t="shared" ref="I11" si="0">H11*(1+I12)</f>
        <v>299.25</v>
      </c>
      <c r="J11" s="20">
        <f t="shared" ref="J11" si="1">I11*(1+J12)</f>
        <v>389.02500000000003</v>
      </c>
      <c r="K11" s="20">
        <f t="shared" ref="K11:L11" si="2">J11*(1+K12)</f>
        <v>486.28125000000006</v>
      </c>
      <c r="L11" s="20">
        <f t="shared" si="2"/>
        <v>583.53750000000002</v>
      </c>
      <c r="M11" s="20">
        <f>L11*(1+M12)</f>
        <v>671.06812500000001</v>
      </c>
      <c r="N11" s="20">
        <f t="shared" ref="N11:R11" si="3">M11*(1+N12)</f>
        <v>771.72834374999991</v>
      </c>
      <c r="O11" s="20">
        <f t="shared" si="3"/>
        <v>848.901178125</v>
      </c>
      <c r="P11" s="20">
        <f t="shared" si="3"/>
        <v>933.79129593750008</v>
      </c>
      <c r="Q11" s="20">
        <f t="shared" si="3"/>
        <v>1027.1704255312502</v>
      </c>
      <c r="R11" s="20">
        <f t="shared" si="3"/>
        <v>1078.5289468078129</v>
      </c>
    </row>
    <row r="12" spans="1:28" x14ac:dyDescent="0.25">
      <c r="A12" s="8"/>
      <c r="B12" s="7" t="s">
        <v>1</v>
      </c>
      <c r="C12" s="17"/>
      <c r="D12" s="17"/>
      <c r="E12" s="17"/>
      <c r="F12" s="17"/>
      <c r="G12" s="17">
        <f>G11/F11-1</f>
        <v>0.7486310484108385</v>
      </c>
      <c r="H12" s="73">
        <f>H11/G11-1</f>
        <v>0.61220806508094716</v>
      </c>
      <c r="I12" s="73">
        <v>0.25</v>
      </c>
      <c r="J12" s="73">
        <v>0.3</v>
      </c>
      <c r="K12" s="73">
        <v>0.25</v>
      </c>
      <c r="L12" s="73">
        <v>0.2</v>
      </c>
      <c r="M12" s="22">
        <v>0.15</v>
      </c>
      <c r="N12" s="22">
        <v>0.15</v>
      </c>
      <c r="O12" s="22">
        <v>0.1</v>
      </c>
      <c r="P12" s="22">
        <v>0.1</v>
      </c>
      <c r="Q12" s="22">
        <v>0.1</v>
      </c>
      <c r="R12" s="22">
        <v>0.05</v>
      </c>
    </row>
    <row r="13" spans="1:28" ht="15.95" customHeight="1" x14ac:dyDescent="0.25">
      <c r="A13" s="8"/>
      <c r="B13" s="7" t="s">
        <v>38</v>
      </c>
      <c r="C13" s="17"/>
      <c r="D13" s="17"/>
      <c r="E13" s="17"/>
      <c r="F13" s="17">
        <f t="shared" ref="F13:G13" si="4">F14/F11</f>
        <v>7.3670203370270498E-2</v>
      </c>
      <c r="G13" s="17">
        <f t="shared" si="4"/>
        <v>-5.9834873259165477E-2</v>
      </c>
      <c r="H13" s="73">
        <v>-0.2</v>
      </c>
      <c r="I13" s="73">
        <v>-0.15</v>
      </c>
      <c r="J13" s="73">
        <v>0.04</v>
      </c>
      <c r="K13" s="73">
        <v>0.08</v>
      </c>
      <c r="L13" s="73">
        <v>0.08</v>
      </c>
      <c r="M13" s="73">
        <v>0.1</v>
      </c>
      <c r="N13" s="21">
        <v>0.1</v>
      </c>
      <c r="O13" s="21">
        <v>0.1</v>
      </c>
      <c r="P13" s="21">
        <v>0.1</v>
      </c>
      <c r="Q13" s="21">
        <v>0.1</v>
      </c>
      <c r="R13" s="21">
        <v>0.1</v>
      </c>
    </row>
    <row r="14" spans="1:28" ht="17.100000000000001" customHeight="1" x14ac:dyDescent="0.25">
      <c r="A14" s="8"/>
      <c r="B14" s="7" t="s">
        <v>39</v>
      </c>
      <c r="C14" s="16"/>
      <c r="D14" s="16"/>
      <c r="E14" s="16"/>
      <c r="F14" s="16">
        <v>6.2560000000000002</v>
      </c>
      <c r="G14" s="16">
        <v>-8.8849999999999998</v>
      </c>
      <c r="H14" s="20">
        <f>H11*H13</f>
        <v>-47.88</v>
      </c>
      <c r="I14" s="20">
        <f t="shared" ref="I14:R14" si="5">I11*I13</f>
        <v>-44.887499999999996</v>
      </c>
      <c r="J14" s="20">
        <f t="shared" si="5"/>
        <v>15.561000000000002</v>
      </c>
      <c r="K14" s="20">
        <f t="shared" si="5"/>
        <v>38.902500000000003</v>
      </c>
      <c r="L14" s="20">
        <f t="shared" si="5"/>
        <v>46.683</v>
      </c>
      <c r="M14" s="20">
        <f t="shared" si="5"/>
        <v>67.106812500000004</v>
      </c>
      <c r="N14" s="20">
        <f t="shared" si="5"/>
        <v>77.172834374999994</v>
      </c>
      <c r="O14" s="20">
        <f>O11*O13</f>
        <v>84.890117812500009</v>
      </c>
      <c r="P14" s="20">
        <f t="shared" si="5"/>
        <v>93.379129593750008</v>
      </c>
      <c r="Q14" s="20">
        <f t="shared" si="5"/>
        <v>102.71704255312503</v>
      </c>
      <c r="R14" s="20">
        <f t="shared" si="5"/>
        <v>107.85289468078129</v>
      </c>
    </row>
    <row r="15" spans="1:28" ht="16.5" thickBot="1" x14ac:dyDescent="0.3">
      <c r="A15" s="19">
        <v>0.25</v>
      </c>
      <c r="B15" s="7" t="s">
        <v>15</v>
      </c>
      <c r="C15" s="18"/>
      <c r="D15" s="16"/>
      <c r="E15" s="16"/>
      <c r="F15" s="16">
        <v>4.5259999999999998</v>
      </c>
      <c r="G15" s="16">
        <v>40.277999999999999</v>
      </c>
      <c r="H15" s="20">
        <f>H14</f>
        <v>-47.88</v>
      </c>
      <c r="I15" s="20">
        <f>I14</f>
        <v>-44.887499999999996</v>
      </c>
      <c r="J15" s="20">
        <f t="shared" ref="J15:Q15" si="6">J14*(1-$A$15)</f>
        <v>11.670750000000002</v>
      </c>
      <c r="K15" s="20">
        <f t="shared" si="6"/>
        <v>29.176875000000003</v>
      </c>
      <c r="L15" s="20">
        <f t="shared" si="6"/>
        <v>35.012250000000002</v>
      </c>
      <c r="M15" s="20">
        <f t="shared" si="6"/>
        <v>50.330109375000006</v>
      </c>
      <c r="N15" s="20">
        <f t="shared" si="6"/>
        <v>57.879625781249999</v>
      </c>
      <c r="O15" s="20">
        <f t="shared" si="6"/>
        <v>63.667588359375003</v>
      </c>
      <c r="P15" s="20">
        <f t="shared" si="6"/>
        <v>70.034347195312506</v>
      </c>
      <c r="Q15" s="20">
        <f t="shared" si="6"/>
        <v>77.037781914843777</v>
      </c>
      <c r="R15" s="20">
        <f>R14*(1-$A$15)</f>
        <v>80.889671010585971</v>
      </c>
    </row>
    <row r="16" spans="1:28" ht="32.25" thickBot="1" x14ac:dyDescent="0.3">
      <c r="A16" s="23" t="s">
        <v>7</v>
      </c>
      <c r="B16" s="24"/>
      <c r="C16" s="25"/>
      <c r="D16" s="25"/>
      <c r="E16" s="25"/>
      <c r="F16" s="25">
        <f>F15/F14</f>
        <v>0.72346547314578002</v>
      </c>
      <c r="G16" s="26">
        <f>G15/G14</f>
        <v>-4.5332583005064713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7" t="s">
        <v>19</v>
      </c>
      <c r="G19" s="68"/>
      <c r="H19" s="69">
        <f>H15/(1+$C$55)</f>
        <v>-42.56</v>
      </c>
      <c r="I19" s="69">
        <f>I15/(1+$C$55)^2</f>
        <v>-35.466666666666661</v>
      </c>
      <c r="J19" s="69">
        <f>J15/(1+$C$55)^3</f>
        <v>8.1967407407407418</v>
      </c>
      <c r="K19" s="69">
        <f>K15/(1+$C$55)^4</f>
        <v>18.214979423868314</v>
      </c>
      <c r="L19" s="69">
        <f>L15/(1+$C$55)^5</f>
        <v>19.429311385459535</v>
      </c>
      <c r="M19" s="69">
        <f>M15/(1+$C$55)^6</f>
        <v>24.826342325864964</v>
      </c>
      <c r="N19" s="69">
        <f>N15/(1+$C$55)^7</f>
        <v>25.378038821995293</v>
      </c>
      <c r="O19" s="69">
        <f>O15/(1+$C$55)^8</f>
        <v>24.81408240372873</v>
      </c>
      <c r="P19" s="69">
        <f>P15/(1+$C$55)^9</f>
        <v>24.262658350312538</v>
      </c>
      <c r="Q19" s="69">
        <f>Q15/(1+$C$55)^10</f>
        <v>23.723488164750044</v>
      </c>
      <c r="R19" s="70">
        <f>(R15/(C55-R12))/(1+C55)^10</f>
        <v>332.12883430650066</v>
      </c>
    </row>
    <row r="20" spans="1:18" x14ac:dyDescent="0.25">
      <c r="A20" s="3"/>
      <c r="C20" s="1" t="s">
        <v>27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C21" s="1" t="s">
        <v>28</v>
      </c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5" t="s">
        <v>8</v>
      </c>
      <c r="B23" s="46"/>
      <c r="C23" s="46"/>
      <c r="D23" s="47"/>
      <c r="E23" s="35"/>
      <c r="F23" s="46"/>
      <c r="G23" s="35"/>
      <c r="H23" s="35"/>
      <c r="I23" s="35"/>
      <c r="J23" s="36"/>
    </row>
    <row r="24" spans="1:18" x14ac:dyDescent="0.25">
      <c r="A24" s="48"/>
      <c r="B24" s="49"/>
      <c r="C24" s="49"/>
      <c r="D24" s="50"/>
      <c r="E24" s="49"/>
      <c r="F24" s="49"/>
      <c r="G24" s="38"/>
      <c r="H24" s="38"/>
      <c r="I24" s="38"/>
      <c r="J24" s="39"/>
    </row>
    <row r="25" spans="1:18" x14ac:dyDescent="0.25">
      <c r="A25" s="48" t="s">
        <v>9</v>
      </c>
      <c r="B25" s="49" t="s">
        <v>26</v>
      </c>
      <c r="C25" s="49"/>
      <c r="D25" s="51">
        <v>0.08</v>
      </c>
      <c r="E25" s="38"/>
      <c r="F25" s="49"/>
      <c r="G25" s="38"/>
      <c r="H25" s="38"/>
      <c r="I25" s="38"/>
      <c r="J25" s="39"/>
    </row>
    <row r="26" spans="1:18" x14ac:dyDescent="0.25">
      <c r="A26" s="48"/>
      <c r="B26" s="49" t="s">
        <v>24</v>
      </c>
      <c r="C26" s="49"/>
      <c r="D26" s="51">
        <v>0.01</v>
      </c>
      <c r="E26" s="38" t="s">
        <v>34</v>
      </c>
      <c r="F26" s="49"/>
      <c r="G26" s="38"/>
      <c r="H26" s="38"/>
      <c r="I26" s="38"/>
      <c r="J26" s="39"/>
      <c r="M26" s="38"/>
      <c r="N26" s="38"/>
      <c r="O26" s="38"/>
    </row>
    <row r="27" spans="1:18" x14ac:dyDescent="0.25">
      <c r="A27" s="48"/>
      <c r="B27" s="49"/>
      <c r="C27" s="49"/>
      <c r="D27" s="51">
        <v>0.04</v>
      </c>
      <c r="E27" s="38" t="s">
        <v>33</v>
      </c>
      <c r="F27" s="49"/>
      <c r="G27" s="38"/>
      <c r="H27" s="38"/>
      <c r="I27" s="38"/>
      <c r="J27" s="39"/>
      <c r="M27" s="38"/>
      <c r="N27" s="38"/>
      <c r="O27" s="38"/>
    </row>
    <row r="28" spans="1:18" x14ac:dyDescent="0.25">
      <c r="A28" s="48"/>
      <c r="B28" s="49"/>
      <c r="C28" s="49"/>
      <c r="D28" s="52"/>
      <c r="E28" s="38"/>
      <c r="F28" s="49"/>
      <c r="G28" s="38"/>
      <c r="H28" s="38"/>
      <c r="I28" s="38"/>
      <c r="J28" s="39"/>
      <c r="M28" s="38"/>
      <c r="N28" s="38"/>
      <c r="O28" s="38"/>
    </row>
    <row r="29" spans="1:18" x14ac:dyDescent="0.25">
      <c r="A29" s="48"/>
      <c r="B29" s="49"/>
      <c r="C29" s="49"/>
      <c r="D29" s="52"/>
      <c r="E29" s="38"/>
      <c r="F29" s="49"/>
      <c r="G29" s="38"/>
      <c r="H29" s="38"/>
      <c r="I29" s="38"/>
      <c r="J29" s="39"/>
      <c r="M29" s="38"/>
      <c r="N29" s="38"/>
      <c r="O29" s="38"/>
    </row>
    <row r="30" spans="1:18" x14ac:dyDescent="0.25">
      <c r="A30" s="48"/>
      <c r="B30" s="49" t="s">
        <v>10</v>
      </c>
      <c r="C30" s="49"/>
      <c r="D30" s="53">
        <f>D25+D26+D27</f>
        <v>0.13</v>
      </c>
      <c r="E30" s="38"/>
      <c r="F30" s="49"/>
      <c r="G30" s="38"/>
      <c r="H30" s="38"/>
      <c r="I30" s="38"/>
      <c r="J30" s="39"/>
      <c r="M30" s="38"/>
      <c r="N30" s="38"/>
      <c r="O30" s="38"/>
      <c r="R30" s="6"/>
    </row>
    <row r="31" spans="1:18" x14ac:dyDescent="0.25">
      <c r="A31" s="48"/>
      <c r="B31" s="49"/>
      <c r="C31" s="49"/>
      <c r="D31" s="50"/>
      <c r="E31" s="38"/>
      <c r="F31" s="49"/>
      <c r="G31" s="38"/>
      <c r="H31" s="38"/>
      <c r="I31" s="38"/>
      <c r="J31" s="39"/>
      <c r="M31" s="38"/>
      <c r="N31" s="40"/>
      <c r="O31" s="38"/>
      <c r="R31" s="6"/>
    </row>
    <row r="32" spans="1:18" x14ac:dyDescent="0.25">
      <c r="A32" s="37"/>
      <c r="B32" s="38"/>
      <c r="C32" s="54"/>
      <c r="D32" s="38"/>
      <c r="E32" s="49"/>
      <c r="F32" s="49"/>
      <c r="G32" s="38"/>
      <c r="H32" s="38"/>
      <c r="I32" s="38"/>
      <c r="J32" s="39"/>
      <c r="M32" s="38"/>
      <c r="N32" s="38"/>
      <c r="O32" s="38"/>
      <c r="P32" s="2"/>
      <c r="Q32" s="2"/>
      <c r="R32" s="2"/>
    </row>
    <row r="33" spans="1:1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9"/>
      <c r="M33" s="38"/>
      <c r="N33" s="38"/>
      <c r="O33" s="38"/>
    </row>
    <row r="34" spans="1:15" x14ac:dyDescent="0.25">
      <c r="A34" s="48" t="s">
        <v>11</v>
      </c>
      <c r="B34" s="49" t="s">
        <v>12</v>
      </c>
      <c r="C34" s="55"/>
      <c r="D34" s="40">
        <v>-5.0000000000000001E-3</v>
      </c>
      <c r="E34" s="38"/>
      <c r="F34" s="38" t="s">
        <v>29</v>
      </c>
      <c r="G34" s="38"/>
      <c r="H34" s="38"/>
      <c r="I34" s="38"/>
      <c r="J34" s="39"/>
    </row>
    <row r="35" spans="1:15" ht="15.75" hidden="1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9"/>
    </row>
    <row r="36" spans="1:15" ht="15.75" hidden="1" customHeight="1" x14ac:dyDescent="0.25">
      <c r="A36" s="37"/>
      <c r="B36" s="38" t="s">
        <v>13</v>
      </c>
      <c r="C36" s="38"/>
      <c r="D36" s="56">
        <v>0.08</v>
      </c>
      <c r="E36" s="38"/>
      <c r="F36" s="38"/>
      <c r="G36" s="38"/>
      <c r="H36" s="38"/>
      <c r="I36" s="38"/>
      <c r="J36" s="39"/>
    </row>
    <row r="37" spans="1:15" ht="15.75" hidden="1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9"/>
    </row>
    <row r="38" spans="1:15" ht="15.75" hidden="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9"/>
    </row>
    <row r="39" spans="1:15" ht="15.75" hidden="1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5" hidden="1" x14ac:dyDescent="0.25">
      <c r="A40" s="37"/>
      <c r="B40" s="57"/>
      <c r="C40" s="57">
        <v>0.12</v>
      </c>
      <c r="D40" s="57" t="e">
        <f>((NPV(C40,$H$15:$R$15)+(#REF!*(1+#REF!)/(C40-#REF!))/(1+C40)^(2040-2020))/$D$50)/$C$51-1</f>
        <v>#REF!</v>
      </c>
      <c r="E40" s="38"/>
      <c r="F40" s="38"/>
      <c r="G40" s="38"/>
      <c r="H40" s="38"/>
      <c r="I40" s="38"/>
      <c r="J40" s="39"/>
    </row>
    <row r="41" spans="1:15" hidden="1" x14ac:dyDescent="0.25">
      <c r="A41" s="37"/>
      <c r="B41" s="57"/>
      <c r="C41" s="57">
        <v>0.14000000000000001</v>
      </c>
      <c r="D41" s="57" t="e">
        <f>((NPV(C41,$H$15:$R$15)+(#REF!*(1+#REF!)/(C41-#REF!))/(1+C41)^(2040-2020))/$D$50)/$C$51-1</f>
        <v>#REF!</v>
      </c>
      <c r="E41" s="38"/>
      <c r="F41" s="38"/>
      <c r="G41" s="38"/>
      <c r="H41" s="38"/>
      <c r="I41" s="38"/>
      <c r="J41" s="39"/>
    </row>
    <row r="42" spans="1:15" hidden="1" x14ac:dyDescent="0.25">
      <c r="A42" s="37"/>
      <c r="B42" s="57"/>
      <c r="C42" s="57">
        <v>0.16</v>
      </c>
      <c r="D42" s="57" t="e">
        <f>((NPV(C42,$H$15:$R$15)+(#REF!*(1+#REF!)/(C42-#REF!))/(1+C42)^(2040-2020))/$D$50)/$C$51-1</f>
        <v>#REF!</v>
      </c>
      <c r="E42" s="38"/>
      <c r="F42" s="38"/>
      <c r="G42" s="38"/>
      <c r="H42" s="38"/>
      <c r="I42" s="38"/>
      <c r="J42" s="39"/>
    </row>
    <row r="43" spans="1:15" hidden="1" x14ac:dyDescent="0.25">
      <c r="A43" s="37"/>
      <c r="B43" s="57"/>
      <c r="C43" s="57">
        <v>0.18</v>
      </c>
      <c r="D43" s="57" t="e">
        <f>((NPV(C43,$H$15:$R$15)+(#REF!*(1+#REF!)/(C43-#REF!))/(1+C43)^(2040-2020))/$D$50)/$C$51-1</f>
        <v>#REF!</v>
      </c>
      <c r="E43" s="38"/>
      <c r="F43" s="38"/>
      <c r="G43" s="38"/>
      <c r="H43" s="38"/>
      <c r="I43" s="38"/>
      <c r="J43" s="39"/>
    </row>
    <row r="44" spans="1:15" hidden="1" x14ac:dyDescent="0.25">
      <c r="A44" s="37"/>
      <c r="B44" s="57"/>
      <c r="C44" s="57">
        <v>0.2</v>
      </c>
      <c r="D44" s="57" t="e">
        <f>((NPV(C44,$H$15:$R$15)+(#REF!*(1+#REF!)/(C44-#REF!))/(1+C44)^(2040-2020))/$D$50)/$C$51-1</f>
        <v>#REF!</v>
      </c>
      <c r="E44" s="38"/>
      <c r="F44" s="38"/>
      <c r="G44" s="38"/>
      <c r="H44" s="38"/>
      <c r="I44" s="38"/>
      <c r="J44" s="39"/>
    </row>
    <row r="45" spans="1:15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5" ht="16.5" thickBot="1" x14ac:dyDescent="0.3">
      <c r="A46" s="41"/>
      <c r="B46" s="42" t="s">
        <v>16</v>
      </c>
      <c r="C46" s="42"/>
      <c r="D46" s="58">
        <f>D30+D34</f>
        <v>0.125</v>
      </c>
      <c r="E46" s="42"/>
      <c r="F46" s="42"/>
      <c r="G46" s="42"/>
      <c r="H46" s="42"/>
      <c r="I46" s="42"/>
      <c r="J46" s="43"/>
    </row>
    <row r="48" spans="1:15" x14ac:dyDescent="0.25">
      <c r="A48" s="27"/>
      <c r="B48" s="28"/>
      <c r="C48" s="29">
        <v>44456</v>
      </c>
      <c r="D48" s="30" t="s">
        <v>3</v>
      </c>
      <c r="E48" s="31"/>
      <c r="F48" s="32"/>
      <c r="G48" s="33"/>
      <c r="H48" s="33"/>
      <c r="I48" s="33"/>
    </row>
    <row r="49" spans="1:8" x14ac:dyDescent="0.25">
      <c r="A49" s="59" t="s">
        <v>0</v>
      </c>
      <c r="B49" s="60" t="s">
        <v>6</v>
      </c>
      <c r="C49" s="61">
        <f>C50*C51</f>
        <v>1690.69039</v>
      </c>
      <c r="D49" s="62">
        <f>SUM(H19:R19)</f>
        <v>422.94780925655414</v>
      </c>
      <c r="E49" s="60" t="s">
        <v>22</v>
      </c>
    </row>
    <row r="50" spans="1:8" x14ac:dyDescent="0.25">
      <c r="A50" s="59"/>
      <c r="B50" s="60" t="s">
        <v>18</v>
      </c>
      <c r="C50" s="61">
        <v>81.953000000000003</v>
      </c>
      <c r="D50" s="61">
        <f>C50*1.05</f>
        <v>86.050650000000005</v>
      </c>
      <c r="E50" s="60"/>
    </row>
    <row r="51" spans="1:8" x14ac:dyDescent="0.25">
      <c r="A51" s="59"/>
      <c r="B51" s="60" t="s">
        <v>20</v>
      </c>
      <c r="C51" s="75">
        <v>20.63</v>
      </c>
      <c r="D51" s="63">
        <f>D49/(D50)</f>
        <v>4.9151030149865704</v>
      </c>
      <c r="E51" s="60" t="s">
        <v>22</v>
      </c>
      <c r="F51" s="74"/>
      <c r="G51" s="12"/>
      <c r="H51" s="12"/>
    </row>
    <row r="52" spans="1:8" x14ac:dyDescent="0.25">
      <c r="A52" s="59"/>
      <c r="B52" s="60" t="s">
        <v>2</v>
      </c>
      <c r="C52" s="60"/>
      <c r="D52" s="76">
        <f>IF(C51/D51-1&gt;0,0,C51/D51-1)</f>
        <v>0</v>
      </c>
      <c r="E52" s="60"/>
      <c r="F52" s="5"/>
    </row>
    <row r="53" spans="1:8" x14ac:dyDescent="0.25">
      <c r="A53" s="59"/>
      <c r="B53" s="60" t="s">
        <v>25</v>
      </c>
      <c r="C53" s="60"/>
      <c r="D53" s="77">
        <f>IF(C51/D51-1&lt;0,0,C51/D51-1)</f>
        <v>3.1972670638026024</v>
      </c>
      <c r="E53" s="60"/>
      <c r="F53" s="5"/>
    </row>
    <row r="54" spans="1:8" x14ac:dyDescent="0.25">
      <c r="A54" s="60"/>
      <c r="B54" s="60"/>
      <c r="C54" s="60"/>
      <c r="D54" s="64"/>
      <c r="E54" s="64"/>
    </row>
    <row r="55" spans="1:8" x14ac:dyDescent="0.25">
      <c r="A55" s="64" t="s">
        <v>4</v>
      </c>
      <c r="B55" s="60"/>
      <c r="C55" s="66">
        <f>D46</f>
        <v>0.125</v>
      </c>
      <c r="D55" s="65"/>
      <c r="E55" s="60"/>
    </row>
  </sheetData>
  <conditionalFormatting sqref="L6:L8">
    <cfRule type="top10" dxfId="11" priority="6" percent="1" rank="10"/>
  </conditionalFormatting>
  <conditionalFormatting sqref="G6:J8">
    <cfRule type="top10" dxfId="10" priority="5" percent="1" rank="10"/>
  </conditionalFormatting>
  <conditionalFormatting sqref="L9">
    <cfRule type="top10" dxfId="9" priority="4" percent="1" rank="10"/>
  </conditionalFormatting>
  <conditionalFormatting sqref="L2:L5">
    <cfRule type="top10" dxfId="8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zoomScale="90" zoomScaleNormal="90" workbookViewId="0">
      <selection activeCell="C52" sqref="C52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4" t="s">
        <v>17</v>
      </c>
    </row>
    <row r="4" spans="1:28" x14ac:dyDescent="0.25">
      <c r="B4" s="34" t="s">
        <v>37</v>
      </c>
    </row>
    <row r="6" spans="1:28" x14ac:dyDescent="0.25">
      <c r="B6" s="1" t="s">
        <v>23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2">
        <v>2021</v>
      </c>
      <c r="I10" s="72">
        <v>2022</v>
      </c>
      <c r="J10" s="72">
        <v>2023</v>
      </c>
      <c r="K10" s="72">
        <v>2024</v>
      </c>
      <c r="L10" s="72">
        <v>2025</v>
      </c>
      <c r="M10" s="72">
        <v>2026</v>
      </c>
      <c r="N10" s="72">
        <v>2027</v>
      </c>
      <c r="O10" s="72">
        <v>2028</v>
      </c>
      <c r="P10" s="72">
        <v>2029</v>
      </c>
      <c r="Q10" s="72">
        <v>2030</v>
      </c>
      <c r="R10" s="71" t="s">
        <v>21</v>
      </c>
    </row>
    <row r="11" spans="1:28" x14ac:dyDescent="0.25">
      <c r="A11" s="8"/>
      <c r="B11" s="7" t="s">
        <v>5</v>
      </c>
      <c r="C11" s="16"/>
      <c r="D11" s="16"/>
      <c r="E11" s="16"/>
      <c r="F11" s="16">
        <v>84.918999999999997</v>
      </c>
      <c r="G11" s="16">
        <v>148.49199999999999</v>
      </c>
      <c r="H11" s="20">
        <v>239.4</v>
      </c>
      <c r="I11" s="20">
        <v>323.2</v>
      </c>
      <c r="J11" s="20">
        <v>450</v>
      </c>
      <c r="K11" s="20">
        <f t="shared" ref="K11:L11" si="0">J11*(1+K12)</f>
        <v>607.5</v>
      </c>
      <c r="L11" s="20">
        <f t="shared" si="0"/>
        <v>820.125</v>
      </c>
      <c r="M11" s="20">
        <f>L11*(1+M12)</f>
        <v>1066.1625000000001</v>
      </c>
      <c r="N11" s="20">
        <f t="shared" ref="N11:R11" si="1">M11*(1+N12)</f>
        <v>1332.7031250000002</v>
      </c>
      <c r="O11" s="20">
        <f t="shared" si="1"/>
        <v>1599.2437500000003</v>
      </c>
      <c r="P11" s="20">
        <f t="shared" si="1"/>
        <v>1919.0925000000002</v>
      </c>
      <c r="Q11" s="20">
        <f t="shared" si="1"/>
        <v>2206.9563750000002</v>
      </c>
      <c r="R11" s="20">
        <f t="shared" si="1"/>
        <v>2339.3737575000005</v>
      </c>
    </row>
    <row r="12" spans="1:28" x14ac:dyDescent="0.25">
      <c r="A12" s="8"/>
      <c r="B12" s="7" t="s">
        <v>1</v>
      </c>
      <c r="C12" s="17"/>
      <c r="D12" s="17"/>
      <c r="E12" s="17"/>
      <c r="F12" s="17"/>
      <c r="G12" s="17">
        <f>G11/F11-1</f>
        <v>0.7486310484108385</v>
      </c>
      <c r="H12" s="73">
        <f>H11/G11-1</f>
        <v>0.61220806508094716</v>
      </c>
      <c r="I12" s="73">
        <f t="shared" ref="I12:J12" si="2">I11/H11-1</f>
        <v>0.3500417710944026</v>
      </c>
      <c r="J12" s="73">
        <f t="shared" si="2"/>
        <v>0.39232673267326734</v>
      </c>
      <c r="K12" s="73">
        <v>0.35</v>
      </c>
      <c r="L12" s="73">
        <v>0.35</v>
      </c>
      <c r="M12" s="22">
        <v>0.3</v>
      </c>
      <c r="N12" s="22">
        <v>0.25</v>
      </c>
      <c r="O12" s="22">
        <v>0.2</v>
      </c>
      <c r="P12" s="22">
        <v>0.2</v>
      </c>
      <c r="Q12" s="22">
        <v>0.15</v>
      </c>
      <c r="R12" s="22">
        <v>0.06</v>
      </c>
    </row>
    <row r="13" spans="1:28" ht="15.95" customHeight="1" x14ac:dyDescent="0.25">
      <c r="A13" s="8"/>
      <c r="B13" s="7" t="s">
        <v>38</v>
      </c>
      <c r="C13" s="17"/>
      <c r="D13" s="17"/>
      <c r="E13" s="17"/>
      <c r="F13" s="17">
        <f t="shared" ref="F13:G13" si="3">F14/F11</f>
        <v>7.3670203370270498E-2</v>
      </c>
      <c r="G13" s="17">
        <f t="shared" si="3"/>
        <v>-5.9834873259165477E-2</v>
      </c>
      <c r="H13" s="73">
        <v>-0.2</v>
      </c>
      <c r="I13" s="73">
        <v>-0.1</v>
      </c>
      <c r="J13" s="73">
        <f>J14/J11</f>
        <v>0.06</v>
      </c>
      <c r="K13" s="73">
        <v>0.08</v>
      </c>
      <c r="L13" s="73">
        <v>0.08</v>
      </c>
      <c r="M13" s="73">
        <v>0.1</v>
      </c>
      <c r="N13" s="21">
        <v>0.1</v>
      </c>
      <c r="O13" s="21">
        <v>0.12</v>
      </c>
      <c r="P13" s="21">
        <v>0.12</v>
      </c>
      <c r="Q13" s="21">
        <v>0.12</v>
      </c>
      <c r="R13" s="21">
        <v>0.17</v>
      </c>
    </row>
    <row r="14" spans="1:28" ht="17.100000000000001" customHeight="1" x14ac:dyDescent="0.25">
      <c r="A14" s="8"/>
      <c r="B14" s="7" t="s">
        <v>39</v>
      </c>
      <c r="C14" s="16"/>
      <c r="D14" s="16"/>
      <c r="E14" s="16"/>
      <c r="F14" s="16">
        <v>6.2560000000000002</v>
      </c>
      <c r="G14" s="16">
        <v>-8.8849999999999998</v>
      </c>
      <c r="H14" s="20">
        <f>H11*H13</f>
        <v>-47.88</v>
      </c>
      <c r="I14" s="20">
        <f>I11*I13</f>
        <v>-32.32</v>
      </c>
      <c r="J14" s="20">
        <v>27</v>
      </c>
      <c r="K14" s="20">
        <f t="shared" ref="K14:R14" si="4">K11*K13</f>
        <v>48.6</v>
      </c>
      <c r="L14" s="20">
        <f t="shared" si="4"/>
        <v>65.61</v>
      </c>
      <c r="M14" s="20">
        <f t="shared" si="4"/>
        <v>106.61625000000002</v>
      </c>
      <c r="N14" s="20">
        <f t="shared" si="4"/>
        <v>133.27031250000002</v>
      </c>
      <c r="O14" s="20">
        <f>O11*O13</f>
        <v>191.90925000000004</v>
      </c>
      <c r="P14" s="20">
        <f t="shared" si="4"/>
        <v>230.29110000000003</v>
      </c>
      <c r="Q14" s="20">
        <f t="shared" si="4"/>
        <v>264.834765</v>
      </c>
      <c r="R14" s="20">
        <f t="shared" si="4"/>
        <v>397.69353877500009</v>
      </c>
    </row>
    <row r="15" spans="1:28" ht="16.5" thickBot="1" x14ac:dyDescent="0.3">
      <c r="A15" s="19">
        <v>0.25</v>
      </c>
      <c r="B15" s="7" t="s">
        <v>15</v>
      </c>
      <c r="C15" s="18"/>
      <c r="D15" s="16"/>
      <c r="E15" s="16"/>
      <c r="F15" s="16">
        <v>4.5259999999999998</v>
      </c>
      <c r="G15" s="16">
        <v>40.277999999999999</v>
      </c>
      <c r="H15" s="20">
        <f>H14</f>
        <v>-47.88</v>
      </c>
      <c r="I15" s="20">
        <f>I14</f>
        <v>-32.32</v>
      </c>
      <c r="J15" s="20">
        <f t="shared" ref="J15:L15" si="5">J14*(1-$A$15)</f>
        <v>20.25</v>
      </c>
      <c r="K15" s="20">
        <f t="shared" si="5"/>
        <v>36.450000000000003</v>
      </c>
      <c r="L15" s="20">
        <f t="shared" si="5"/>
        <v>49.207499999999996</v>
      </c>
      <c r="M15" s="20">
        <f t="shared" ref="M15:Q15" si="6">M14*(1-$A$15)</f>
        <v>79.962187500000013</v>
      </c>
      <c r="N15" s="20">
        <f t="shared" si="6"/>
        <v>99.952734375000006</v>
      </c>
      <c r="O15" s="20">
        <f t="shared" si="6"/>
        <v>143.93193750000003</v>
      </c>
      <c r="P15" s="20">
        <f t="shared" si="6"/>
        <v>172.71832500000002</v>
      </c>
      <c r="Q15" s="20">
        <f t="shared" si="6"/>
        <v>198.62607374999999</v>
      </c>
      <c r="R15" s="20">
        <f>R14*(1-$A$15)</f>
        <v>298.2701540812501</v>
      </c>
    </row>
    <row r="16" spans="1:28" ht="32.25" thickBot="1" x14ac:dyDescent="0.3">
      <c r="A16" s="23" t="s">
        <v>7</v>
      </c>
      <c r="B16" s="24"/>
      <c r="C16" s="25"/>
      <c r="D16" s="25"/>
      <c r="E16" s="25"/>
      <c r="F16" s="25">
        <f>F15/F14</f>
        <v>0.72346547314578002</v>
      </c>
      <c r="G16" s="26">
        <f>G15/G14</f>
        <v>-4.5332583005064713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7" t="s">
        <v>19</v>
      </c>
      <c r="G19" s="68"/>
      <c r="H19" s="69">
        <f>H15/(1+$C$55)</f>
        <v>-42.56</v>
      </c>
      <c r="I19" s="69">
        <f>I15/(1+$C$55)^2</f>
        <v>-25.53679012345679</v>
      </c>
      <c r="J19" s="69">
        <f>J15/(1+$C$55)^3</f>
        <v>14.222222222222221</v>
      </c>
      <c r="K19" s="69">
        <f>K15/(1+$C$55)^4</f>
        <v>22.755555555555556</v>
      </c>
      <c r="L19" s="69">
        <f>L15/(1+$C$55)^5</f>
        <v>27.306666666666665</v>
      </c>
      <c r="M19" s="69">
        <f>M15/(1+$C$55)^6</f>
        <v>39.442962962962966</v>
      </c>
      <c r="N19" s="69">
        <f>N15/(1+$C$55)^7</f>
        <v>43.825514403292182</v>
      </c>
      <c r="O19" s="69">
        <f>O15/(1+$C$55)^8</f>
        <v>56.096658436214007</v>
      </c>
      <c r="P19" s="69">
        <f>P15/(1+$C$55)^9</f>
        <v>59.836435665294935</v>
      </c>
      <c r="Q19" s="69">
        <f>Q15/(1+$C$55)^10</f>
        <v>61.166134235634807</v>
      </c>
      <c r="R19" s="70">
        <f>(R15/(C55-R12))/(1+C55)^10</f>
        <v>1413.0945370847944</v>
      </c>
    </row>
    <row r="20" spans="1:18" x14ac:dyDescent="0.25">
      <c r="A20" s="3"/>
      <c r="C20" s="1" t="s">
        <v>27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C21" s="1" t="s">
        <v>28</v>
      </c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5" t="s">
        <v>8</v>
      </c>
      <c r="B23" s="46"/>
      <c r="C23" s="46"/>
      <c r="D23" s="47"/>
      <c r="E23" s="35"/>
      <c r="F23" s="46"/>
      <c r="G23" s="35"/>
      <c r="H23" s="35"/>
      <c r="I23" s="35"/>
      <c r="J23" s="36"/>
    </row>
    <row r="24" spans="1:18" x14ac:dyDescent="0.25">
      <c r="A24" s="48"/>
      <c r="B24" s="49"/>
      <c r="C24" s="49"/>
      <c r="D24" s="50"/>
      <c r="E24" s="49"/>
      <c r="F24" s="49"/>
      <c r="G24" s="38"/>
      <c r="H24" s="38"/>
      <c r="I24" s="38"/>
      <c r="J24" s="39"/>
    </row>
    <row r="25" spans="1:18" x14ac:dyDescent="0.25">
      <c r="A25" s="48" t="s">
        <v>9</v>
      </c>
      <c r="B25" s="49" t="s">
        <v>26</v>
      </c>
      <c r="C25" s="49"/>
      <c r="D25" s="51">
        <v>0.08</v>
      </c>
      <c r="E25" s="38"/>
      <c r="F25" s="49"/>
      <c r="G25" s="38"/>
      <c r="H25" s="38"/>
      <c r="I25" s="38"/>
      <c r="J25" s="39"/>
    </row>
    <row r="26" spans="1:18" x14ac:dyDescent="0.25">
      <c r="A26" s="48"/>
      <c r="B26" s="49" t="s">
        <v>24</v>
      </c>
      <c r="C26" s="49"/>
      <c r="D26" s="51">
        <v>0.01</v>
      </c>
      <c r="E26" s="38" t="s">
        <v>34</v>
      </c>
      <c r="F26" s="49"/>
      <c r="G26" s="38"/>
      <c r="H26" s="38"/>
      <c r="I26" s="38"/>
      <c r="J26" s="39"/>
      <c r="M26" s="38"/>
      <c r="N26" s="38"/>
      <c r="O26" s="38"/>
    </row>
    <row r="27" spans="1:18" x14ac:dyDescent="0.25">
      <c r="A27" s="48"/>
      <c r="B27" s="49"/>
      <c r="C27" s="49"/>
      <c r="D27" s="51">
        <v>0.04</v>
      </c>
      <c r="E27" s="38" t="s">
        <v>33</v>
      </c>
      <c r="F27" s="49"/>
      <c r="G27" s="38"/>
      <c r="H27" s="38"/>
      <c r="I27" s="38"/>
      <c r="J27" s="39"/>
      <c r="M27" s="38"/>
      <c r="N27" s="38"/>
      <c r="O27" s="38"/>
    </row>
    <row r="28" spans="1:18" x14ac:dyDescent="0.25">
      <c r="A28" s="48"/>
      <c r="B28" s="49"/>
      <c r="C28" s="49"/>
      <c r="D28" s="52"/>
      <c r="E28" s="38"/>
      <c r="F28" s="49"/>
      <c r="G28" s="38"/>
      <c r="H28" s="38"/>
      <c r="I28" s="38"/>
      <c r="J28" s="39"/>
      <c r="M28" s="38"/>
      <c r="N28" s="38"/>
      <c r="O28" s="38"/>
    </row>
    <row r="29" spans="1:18" x14ac:dyDescent="0.25">
      <c r="A29" s="48"/>
      <c r="B29" s="49"/>
      <c r="C29" s="49"/>
      <c r="D29" s="52"/>
      <c r="E29" s="38"/>
      <c r="F29" s="49"/>
      <c r="G29" s="38"/>
      <c r="H29" s="38"/>
      <c r="I29" s="38"/>
      <c r="J29" s="39"/>
      <c r="M29" s="38"/>
      <c r="N29" s="38"/>
      <c r="O29" s="38"/>
    </row>
    <row r="30" spans="1:18" x14ac:dyDescent="0.25">
      <c r="A30" s="48"/>
      <c r="B30" s="49" t="s">
        <v>10</v>
      </c>
      <c r="C30" s="49"/>
      <c r="D30" s="53">
        <f>D25+D26+D27</f>
        <v>0.13</v>
      </c>
      <c r="E30" s="38"/>
      <c r="F30" s="49"/>
      <c r="G30" s="38"/>
      <c r="H30" s="38"/>
      <c r="I30" s="38"/>
      <c r="J30" s="39"/>
      <c r="M30" s="38"/>
      <c r="N30" s="38"/>
      <c r="O30" s="38"/>
      <c r="R30" s="6"/>
    </row>
    <row r="31" spans="1:18" x14ac:dyDescent="0.25">
      <c r="A31" s="48"/>
      <c r="B31" s="49"/>
      <c r="C31" s="49"/>
      <c r="D31" s="50"/>
      <c r="E31" s="38"/>
      <c r="F31" s="49"/>
      <c r="G31" s="38"/>
      <c r="H31" s="38"/>
      <c r="I31" s="38"/>
      <c r="J31" s="39"/>
      <c r="M31" s="38"/>
      <c r="N31" s="40"/>
      <c r="O31" s="38"/>
      <c r="R31" s="6"/>
    </row>
    <row r="32" spans="1:18" x14ac:dyDescent="0.25">
      <c r="A32" s="37"/>
      <c r="B32" s="38"/>
      <c r="C32" s="54"/>
      <c r="D32" s="38"/>
      <c r="E32" s="49"/>
      <c r="F32" s="49"/>
      <c r="G32" s="38"/>
      <c r="H32" s="38"/>
      <c r="I32" s="38"/>
      <c r="J32" s="39"/>
      <c r="M32" s="38"/>
      <c r="N32" s="38"/>
      <c r="O32" s="38"/>
      <c r="P32" s="2"/>
      <c r="Q32" s="2"/>
      <c r="R32" s="2"/>
    </row>
    <row r="33" spans="1:1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9"/>
      <c r="M33" s="38"/>
      <c r="N33" s="38"/>
      <c r="O33" s="38"/>
    </row>
    <row r="34" spans="1:15" x14ac:dyDescent="0.25">
      <c r="A34" s="48" t="s">
        <v>11</v>
      </c>
      <c r="B34" s="49" t="s">
        <v>12</v>
      </c>
      <c r="C34" s="55"/>
      <c r="D34" s="40">
        <v>-5.0000000000000001E-3</v>
      </c>
      <c r="E34" s="38"/>
      <c r="F34" s="38" t="s">
        <v>29</v>
      </c>
      <c r="G34" s="38"/>
      <c r="H34" s="38"/>
      <c r="I34" s="38"/>
      <c r="J34" s="39"/>
    </row>
    <row r="35" spans="1:15" ht="15.75" hidden="1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9"/>
    </row>
    <row r="36" spans="1:15" ht="15.75" hidden="1" customHeight="1" x14ac:dyDescent="0.25">
      <c r="A36" s="37"/>
      <c r="B36" s="38" t="s">
        <v>13</v>
      </c>
      <c r="C36" s="38"/>
      <c r="D36" s="56">
        <v>0.08</v>
      </c>
      <c r="E36" s="38"/>
      <c r="F36" s="38"/>
      <c r="G36" s="38"/>
      <c r="H36" s="38"/>
      <c r="I36" s="38"/>
      <c r="J36" s="39"/>
    </row>
    <row r="37" spans="1:15" ht="15.75" hidden="1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9"/>
    </row>
    <row r="38" spans="1:15" ht="15.75" hidden="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9"/>
    </row>
    <row r="39" spans="1:15" ht="15.75" hidden="1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5" hidden="1" x14ac:dyDescent="0.25">
      <c r="A40" s="37"/>
      <c r="B40" s="57"/>
      <c r="C40" s="57">
        <v>0.12</v>
      </c>
      <c r="D40" s="57" t="e">
        <f>((NPV(C40,$H$15:$R$15)+(#REF!*(1+#REF!)/(C40-#REF!))/(1+C40)^(2040-2020))/$D$50)/$C$51-1</f>
        <v>#REF!</v>
      </c>
      <c r="E40" s="38"/>
      <c r="F40" s="38"/>
      <c r="G40" s="38"/>
      <c r="H40" s="38"/>
      <c r="I40" s="38"/>
      <c r="J40" s="39"/>
    </row>
    <row r="41" spans="1:15" hidden="1" x14ac:dyDescent="0.25">
      <c r="A41" s="37"/>
      <c r="B41" s="57"/>
      <c r="C41" s="57">
        <v>0.14000000000000001</v>
      </c>
      <c r="D41" s="57" t="e">
        <f>((NPV(C41,$H$15:$R$15)+(#REF!*(1+#REF!)/(C41-#REF!))/(1+C41)^(2040-2020))/$D$50)/$C$51-1</f>
        <v>#REF!</v>
      </c>
      <c r="E41" s="38"/>
      <c r="F41" s="38"/>
      <c r="G41" s="38"/>
      <c r="H41" s="38"/>
      <c r="I41" s="38"/>
      <c r="J41" s="39"/>
    </row>
    <row r="42" spans="1:15" hidden="1" x14ac:dyDescent="0.25">
      <c r="A42" s="37"/>
      <c r="B42" s="57"/>
      <c r="C42" s="57">
        <v>0.16</v>
      </c>
      <c r="D42" s="57" t="e">
        <f>((NPV(C42,$H$15:$R$15)+(#REF!*(1+#REF!)/(C42-#REF!))/(1+C42)^(2040-2020))/$D$50)/$C$51-1</f>
        <v>#REF!</v>
      </c>
      <c r="E42" s="38"/>
      <c r="F42" s="38"/>
      <c r="G42" s="38"/>
      <c r="H42" s="38"/>
      <c r="I42" s="38"/>
      <c r="J42" s="39"/>
    </row>
    <row r="43" spans="1:15" hidden="1" x14ac:dyDescent="0.25">
      <c r="A43" s="37"/>
      <c r="B43" s="57"/>
      <c r="C43" s="57">
        <v>0.18</v>
      </c>
      <c r="D43" s="57" t="e">
        <f>((NPV(C43,$H$15:$R$15)+(#REF!*(1+#REF!)/(C43-#REF!))/(1+C43)^(2040-2020))/$D$50)/$C$51-1</f>
        <v>#REF!</v>
      </c>
      <c r="E43" s="38"/>
      <c r="F43" s="38"/>
      <c r="G43" s="38"/>
      <c r="H43" s="38"/>
      <c r="I43" s="38"/>
      <c r="J43" s="39"/>
    </row>
    <row r="44" spans="1:15" hidden="1" x14ac:dyDescent="0.25">
      <c r="A44" s="37"/>
      <c r="B44" s="57"/>
      <c r="C44" s="57">
        <v>0.2</v>
      </c>
      <c r="D44" s="57" t="e">
        <f>((NPV(C44,$H$15:$R$15)+(#REF!*(1+#REF!)/(C44-#REF!))/(1+C44)^(2040-2020))/$D$50)/$C$51-1</f>
        <v>#REF!</v>
      </c>
      <c r="E44" s="38"/>
      <c r="F44" s="38"/>
      <c r="G44" s="38"/>
      <c r="H44" s="38"/>
      <c r="I44" s="38"/>
      <c r="J44" s="39"/>
    </row>
    <row r="45" spans="1:15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5" ht="16.5" thickBot="1" x14ac:dyDescent="0.3">
      <c r="A46" s="41"/>
      <c r="B46" s="42" t="s">
        <v>16</v>
      </c>
      <c r="C46" s="42"/>
      <c r="D46" s="58">
        <f>D30+D34</f>
        <v>0.125</v>
      </c>
      <c r="E46" s="42"/>
      <c r="F46" s="42"/>
      <c r="G46" s="42"/>
      <c r="H46" s="42"/>
      <c r="I46" s="42"/>
      <c r="J46" s="43"/>
    </row>
    <row r="48" spans="1:15" x14ac:dyDescent="0.25">
      <c r="A48" s="27"/>
      <c r="B48" s="28"/>
      <c r="C48" s="29">
        <v>44456</v>
      </c>
      <c r="D48" s="30" t="s">
        <v>3</v>
      </c>
      <c r="E48" s="31"/>
      <c r="F48" s="32"/>
      <c r="G48" s="33"/>
      <c r="H48" s="33"/>
      <c r="I48" s="33"/>
    </row>
    <row r="49" spans="1:8" x14ac:dyDescent="0.25">
      <c r="A49" s="59" t="s">
        <v>0</v>
      </c>
      <c r="B49" s="60" t="s">
        <v>6</v>
      </c>
      <c r="C49" s="61">
        <f>C50*C51</f>
        <v>1690.69039</v>
      </c>
      <c r="D49" s="62">
        <f>SUM(H19:R19)</f>
        <v>1669.649897109181</v>
      </c>
      <c r="E49" s="60" t="s">
        <v>22</v>
      </c>
    </row>
    <row r="50" spans="1:8" x14ac:dyDescent="0.25">
      <c r="A50" s="59"/>
      <c r="B50" s="60" t="s">
        <v>18</v>
      </c>
      <c r="C50" s="61">
        <v>81.953000000000003</v>
      </c>
      <c r="D50" s="61">
        <f>C50*1.05</f>
        <v>86.050650000000005</v>
      </c>
      <c r="E50" s="60"/>
    </row>
    <row r="51" spans="1:8" x14ac:dyDescent="0.25">
      <c r="A51" s="59"/>
      <c r="B51" s="60" t="s">
        <v>20</v>
      </c>
      <c r="C51" s="75">
        <v>20.63</v>
      </c>
      <c r="D51" s="63">
        <f>D49/(D50)</f>
        <v>19.403106160257718</v>
      </c>
      <c r="E51" s="60" t="s">
        <v>22</v>
      </c>
      <c r="F51" s="74"/>
      <c r="G51" s="12"/>
      <c r="H51" s="12"/>
    </row>
    <row r="52" spans="1:8" x14ac:dyDescent="0.25">
      <c r="A52" s="59"/>
      <c r="B52" s="60" t="s">
        <v>2</v>
      </c>
      <c r="C52" s="60"/>
      <c r="D52" s="76">
        <f>IF(C51/D51-1&gt;0,0,C51/D51-1)</f>
        <v>0</v>
      </c>
      <c r="E52" s="60"/>
      <c r="F52" s="5"/>
    </row>
    <row r="53" spans="1:8" x14ac:dyDescent="0.25">
      <c r="A53" s="59"/>
      <c r="B53" s="60" t="s">
        <v>25</v>
      </c>
      <c r="C53" s="60"/>
      <c r="D53" s="77">
        <f>IF(C51/D51-1&lt;0,0,C51/D51-1)</f>
        <v>6.323182636887581E-2</v>
      </c>
      <c r="E53" s="60"/>
      <c r="F53" s="5"/>
    </row>
    <row r="54" spans="1:8" x14ac:dyDescent="0.25">
      <c r="A54" s="60"/>
      <c r="B54" s="60"/>
      <c r="C54" s="60"/>
      <c r="D54" s="64"/>
      <c r="E54" s="64"/>
    </row>
    <row r="55" spans="1:8" x14ac:dyDescent="0.25">
      <c r="A55" s="64" t="s">
        <v>4</v>
      </c>
      <c r="B55" s="60"/>
      <c r="C55" s="66">
        <f>D46</f>
        <v>0.125</v>
      </c>
      <c r="D55" s="65"/>
      <c r="E55" s="60"/>
    </row>
  </sheetData>
  <conditionalFormatting sqref="L6:L8">
    <cfRule type="top10" dxfId="7" priority="6" percent="1" rank="10"/>
  </conditionalFormatting>
  <conditionalFormatting sqref="G6:J8">
    <cfRule type="top10" dxfId="6" priority="5" percent="1" rank="10"/>
  </conditionalFormatting>
  <conditionalFormatting sqref="L9">
    <cfRule type="top10" dxfId="5" priority="4" percent="1" rank="10"/>
  </conditionalFormatting>
  <conditionalFormatting sqref="L2:L5">
    <cfRule type="top10" dxfId="4" priority="3" percent="1" rank="10"/>
  </conditionalFormatting>
  <conditionalFormatting sqref="C32">
    <cfRule type="colorScale" priority="2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1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55"/>
  <sheetViews>
    <sheetView zoomScale="90" zoomScaleNormal="90" workbookViewId="0">
      <selection activeCell="L46" sqref="L46"/>
    </sheetView>
  </sheetViews>
  <sheetFormatPr baseColWidth="10" defaultColWidth="10.625" defaultRowHeight="15.75" x14ac:dyDescent="0.25"/>
  <cols>
    <col min="1" max="1" width="27.125" style="1" bestFit="1" customWidth="1"/>
    <col min="2" max="2" width="32.375" style="1" customWidth="1"/>
    <col min="3" max="3" width="16" style="1" bestFit="1" customWidth="1"/>
    <col min="4" max="4" width="16.125" style="1" customWidth="1"/>
    <col min="5" max="5" width="14.125" style="1" customWidth="1"/>
    <col min="6" max="6" width="13.625" style="1" customWidth="1"/>
    <col min="7" max="7" width="14.875" style="1" customWidth="1"/>
    <col min="8" max="8" width="12.125" style="1" customWidth="1"/>
    <col min="9" max="16" width="10.625" style="1"/>
    <col min="17" max="18" width="10.625" style="1" customWidth="1"/>
    <col min="19" max="16384" width="10.625" style="1"/>
  </cols>
  <sheetData>
    <row r="2" spans="1:28" ht="26.25" x14ac:dyDescent="0.4">
      <c r="B2" s="44" t="s">
        <v>17</v>
      </c>
    </row>
    <row r="4" spans="1:28" x14ac:dyDescent="0.25">
      <c r="B4" s="34" t="s">
        <v>40</v>
      </c>
    </row>
    <row r="6" spans="1:28" x14ac:dyDescent="0.25">
      <c r="B6" s="1" t="s">
        <v>23</v>
      </c>
    </row>
    <row r="9" spans="1:28" s="11" customFormat="1" x14ac:dyDescent="0.25">
      <c r="H9" s="13" t="s">
        <v>14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x14ac:dyDescent="0.25">
      <c r="A10" s="7"/>
      <c r="B10" s="7"/>
      <c r="C10" s="15">
        <v>2016</v>
      </c>
      <c r="D10" s="15">
        <v>2017</v>
      </c>
      <c r="E10" s="15">
        <v>2018</v>
      </c>
      <c r="F10" s="15">
        <v>2019</v>
      </c>
      <c r="G10" s="15">
        <v>2020</v>
      </c>
      <c r="H10" s="72">
        <v>2021</v>
      </c>
      <c r="I10" s="72">
        <v>2022</v>
      </c>
      <c r="J10" s="72">
        <v>2023</v>
      </c>
      <c r="K10" s="72">
        <v>2024</v>
      </c>
      <c r="L10" s="72">
        <v>2025</v>
      </c>
      <c r="M10" s="72">
        <v>2026</v>
      </c>
      <c r="N10" s="72">
        <v>2027</v>
      </c>
      <c r="O10" s="72">
        <v>2028</v>
      </c>
      <c r="P10" s="72">
        <v>2029</v>
      </c>
      <c r="Q10" s="72">
        <v>2030</v>
      </c>
      <c r="R10" s="71" t="s">
        <v>21</v>
      </c>
    </row>
    <row r="11" spans="1:28" x14ac:dyDescent="0.25">
      <c r="A11" s="8"/>
      <c r="B11" s="7" t="s">
        <v>5</v>
      </c>
      <c r="C11" s="16"/>
      <c r="D11" s="16"/>
      <c r="E11" s="16"/>
      <c r="F11" s="16">
        <v>84.918999999999997</v>
      </c>
      <c r="G11" s="16">
        <v>148.49199999999999</v>
      </c>
      <c r="H11" s="20">
        <v>239.4</v>
      </c>
      <c r="I11" s="20">
        <v>323.2</v>
      </c>
      <c r="J11" s="20">
        <v>450</v>
      </c>
      <c r="K11" s="20">
        <f t="shared" ref="K11:L11" si="0">J11*(1+K12)</f>
        <v>630</v>
      </c>
      <c r="L11" s="20">
        <f t="shared" si="0"/>
        <v>945</v>
      </c>
      <c r="M11" s="20">
        <f>L11*(1+M12)</f>
        <v>1323</v>
      </c>
      <c r="N11" s="20">
        <f t="shared" ref="N11:R11" si="1">M11*(1+N12)</f>
        <v>1786.0500000000002</v>
      </c>
      <c r="O11" s="20">
        <f t="shared" si="1"/>
        <v>2321.8650000000002</v>
      </c>
      <c r="P11" s="20">
        <f t="shared" si="1"/>
        <v>2786.2380000000003</v>
      </c>
      <c r="Q11" s="20">
        <f t="shared" si="1"/>
        <v>3343.4856000000004</v>
      </c>
      <c r="R11" s="20">
        <f t="shared" si="1"/>
        <v>3610.9644480000006</v>
      </c>
    </row>
    <row r="12" spans="1:28" x14ac:dyDescent="0.25">
      <c r="A12" s="8"/>
      <c r="B12" s="7" t="s">
        <v>1</v>
      </c>
      <c r="C12" s="17"/>
      <c r="D12" s="17"/>
      <c r="E12" s="17"/>
      <c r="F12" s="17"/>
      <c r="G12" s="17">
        <f>G11/F11-1</f>
        <v>0.7486310484108385</v>
      </c>
      <c r="H12" s="73">
        <f>H11/G11-1</f>
        <v>0.61220806508094716</v>
      </c>
      <c r="I12" s="73">
        <f t="shared" ref="I12:J12" si="2">I11/H11-1</f>
        <v>0.3500417710944026</v>
      </c>
      <c r="J12" s="73">
        <f t="shared" si="2"/>
        <v>0.39232673267326734</v>
      </c>
      <c r="K12" s="73">
        <v>0.4</v>
      </c>
      <c r="L12" s="73">
        <v>0.5</v>
      </c>
      <c r="M12" s="22">
        <v>0.4</v>
      </c>
      <c r="N12" s="22">
        <v>0.35</v>
      </c>
      <c r="O12" s="22">
        <v>0.3</v>
      </c>
      <c r="P12" s="22">
        <v>0.2</v>
      </c>
      <c r="Q12" s="22">
        <v>0.2</v>
      </c>
      <c r="R12" s="22">
        <v>0.08</v>
      </c>
    </row>
    <row r="13" spans="1:28" ht="15.95" customHeight="1" x14ac:dyDescent="0.25">
      <c r="A13" s="8"/>
      <c r="B13" s="7" t="s">
        <v>38</v>
      </c>
      <c r="C13" s="17"/>
      <c r="D13" s="17"/>
      <c r="E13" s="17"/>
      <c r="F13" s="17">
        <f t="shared" ref="F13:G13" si="3">F14/F11</f>
        <v>7.3670203370270498E-2</v>
      </c>
      <c r="G13" s="17">
        <f t="shared" si="3"/>
        <v>-5.9834873259165477E-2</v>
      </c>
      <c r="H13" s="73">
        <v>-0.2</v>
      </c>
      <c r="I13" s="73">
        <v>-0.1</v>
      </c>
      <c r="J13" s="73">
        <f>J14/J11</f>
        <v>0.06</v>
      </c>
      <c r="K13" s="73">
        <v>0.06</v>
      </c>
      <c r="L13" s="73">
        <v>0.06</v>
      </c>
      <c r="M13" s="73">
        <v>0.13</v>
      </c>
      <c r="N13" s="21">
        <v>0.15</v>
      </c>
      <c r="O13" s="21">
        <v>0.18</v>
      </c>
      <c r="P13" s="21">
        <v>0.2</v>
      </c>
      <c r="Q13" s="21">
        <v>0.22</v>
      </c>
      <c r="R13" s="21">
        <v>0.22</v>
      </c>
    </row>
    <row r="14" spans="1:28" ht="17.100000000000001" customHeight="1" x14ac:dyDescent="0.25">
      <c r="A14" s="8"/>
      <c r="B14" s="7" t="s">
        <v>39</v>
      </c>
      <c r="C14" s="16"/>
      <c r="D14" s="16"/>
      <c r="E14" s="16"/>
      <c r="F14" s="16">
        <v>6.2560000000000002</v>
      </c>
      <c r="G14" s="16">
        <v>-8.8849999999999998</v>
      </c>
      <c r="H14" s="20">
        <f>H11*H13</f>
        <v>-47.88</v>
      </c>
      <c r="I14" s="20">
        <f>I11*I13</f>
        <v>-32.32</v>
      </c>
      <c r="J14" s="20">
        <v>27</v>
      </c>
      <c r="K14" s="20">
        <f t="shared" ref="K14:R14" si="4">K11*K13</f>
        <v>37.799999999999997</v>
      </c>
      <c r="L14" s="20">
        <f t="shared" si="4"/>
        <v>56.699999999999996</v>
      </c>
      <c r="M14" s="20">
        <f t="shared" si="4"/>
        <v>171.99</v>
      </c>
      <c r="N14" s="20">
        <f t="shared" si="4"/>
        <v>267.90750000000003</v>
      </c>
      <c r="O14" s="20">
        <f>O11*O13</f>
        <v>417.93570000000005</v>
      </c>
      <c r="P14" s="20">
        <f t="shared" si="4"/>
        <v>557.24760000000003</v>
      </c>
      <c r="Q14" s="20">
        <f t="shared" si="4"/>
        <v>735.56683200000009</v>
      </c>
      <c r="R14" s="20">
        <f t="shared" si="4"/>
        <v>794.41217856000014</v>
      </c>
    </row>
    <row r="15" spans="1:28" ht="16.5" thickBot="1" x14ac:dyDescent="0.3">
      <c r="A15" s="19">
        <v>0.25</v>
      </c>
      <c r="B15" s="7" t="s">
        <v>15</v>
      </c>
      <c r="C15" s="18"/>
      <c r="D15" s="16"/>
      <c r="E15" s="16"/>
      <c r="F15" s="16">
        <v>4.5259999999999998</v>
      </c>
      <c r="G15" s="16">
        <v>40.277999999999999</v>
      </c>
      <c r="H15" s="20">
        <f>H14</f>
        <v>-47.88</v>
      </c>
      <c r="I15" s="20">
        <f>I14</f>
        <v>-32.32</v>
      </c>
      <c r="J15" s="20">
        <f t="shared" ref="J15:Q15" si="5">J14*(1-$A$15)</f>
        <v>20.25</v>
      </c>
      <c r="K15" s="20">
        <f t="shared" si="5"/>
        <v>28.349999999999998</v>
      </c>
      <c r="L15" s="20">
        <f t="shared" si="5"/>
        <v>42.524999999999999</v>
      </c>
      <c r="M15" s="20">
        <f t="shared" si="5"/>
        <v>128.99250000000001</v>
      </c>
      <c r="N15" s="20">
        <f t="shared" si="5"/>
        <v>200.93062500000002</v>
      </c>
      <c r="O15" s="20">
        <f t="shared" si="5"/>
        <v>313.45177500000005</v>
      </c>
      <c r="P15" s="20">
        <f t="shared" si="5"/>
        <v>417.9357</v>
      </c>
      <c r="Q15" s="20">
        <f t="shared" si="5"/>
        <v>551.6751240000001</v>
      </c>
      <c r="R15" s="20">
        <f>R14*(1-$A$15)</f>
        <v>595.80913392000014</v>
      </c>
    </row>
    <row r="16" spans="1:28" ht="32.25" thickBot="1" x14ac:dyDescent="0.3">
      <c r="A16" s="23" t="s">
        <v>7</v>
      </c>
      <c r="B16" s="24"/>
      <c r="C16" s="25"/>
      <c r="D16" s="25"/>
      <c r="E16" s="25"/>
      <c r="F16" s="25">
        <f>F15/F14</f>
        <v>0.72346547314578002</v>
      </c>
      <c r="G16" s="26">
        <f>G15/G14</f>
        <v>-4.5332583005064713</v>
      </c>
    </row>
    <row r="17" spans="1:18" x14ac:dyDescent="0.25">
      <c r="A17" s="3"/>
      <c r="G17" s="9"/>
      <c r="H17" s="9"/>
      <c r="I17" s="9"/>
      <c r="J17" s="9"/>
      <c r="K17" s="9"/>
      <c r="L17" s="9"/>
      <c r="M17" s="9"/>
      <c r="N17" s="9"/>
      <c r="O17" s="9"/>
      <c r="P17" s="4"/>
      <c r="Q17" s="4"/>
      <c r="R17" s="4"/>
    </row>
    <row r="18" spans="1:18" ht="16.5" thickBot="1" x14ac:dyDescent="0.3">
      <c r="A18" s="3"/>
      <c r="G18" s="9"/>
      <c r="I18" s="9"/>
      <c r="J18" s="9"/>
      <c r="K18" s="9"/>
      <c r="L18" s="9"/>
      <c r="M18" s="9"/>
      <c r="N18" s="9"/>
      <c r="O18" s="9"/>
      <c r="P18" s="4"/>
      <c r="Q18" s="4"/>
      <c r="R18" s="4"/>
    </row>
    <row r="19" spans="1:18" ht="16.5" thickBot="1" x14ac:dyDescent="0.3">
      <c r="A19" s="3"/>
      <c r="F19" s="67" t="s">
        <v>19</v>
      </c>
      <c r="G19" s="68"/>
      <c r="H19" s="69">
        <f>H15/(1+$C$55)</f>
        <v>-42.56</v>
      </c>
      <c r="I19" s="69">
        <f>I15/(1+$C$55)^2</f>
        <v>-25.53679012345679</v>
      </c>
      <c r="J19" s="69">
        <f>J15/(1+$C$55)^3</f>
        <v>14.222222222222221</v>
      </c>
      <c r="K19" s="69">
        <f>K15/(1+$C$55)^4</f>
        <v>17.698765432098764</v>
      </c>
      <c r="L19" s="69">
        <f>L15/(1+$C$55)^5</f>
        <v>23.598353909465018</v>
      </c>
      <c r="M19" s="69">
        <f>M15/(1+$C$55)^6</f>
        <v>63.628154244779765</v>
      </c>
      <c r="N19" s="69">
        <f>N15/(1+$C$55)^7</f>
        <v>88.100521262002758</v>
      </c>
      <c r="O19" s="69">
        <f>O15/(1+$C$55)^8</f>
        <v>122.16605614997717</v>
      </c>
      <c r="P19" s="69">
        <f>P15/(1+$C$55)^9</f>
        <v>144.78939988145439</v>
      </c>
      <c r="Q19" s="69">
        <f>Q15/(1+$C$55)^10</f>
        <v>169.88622919423983</v>
      </c>
      <c r="R19" s="70">
        <f>(R15/(C55-R12))/(1+C55)^10</f>
        <v>4077.2695006617569</v>
      </c>
    </row>
    <row r="20" spans="1:18" x14ac:dyDescent="0.25">
      <c r="A20" s="3"/>
      <c r="C20" s="1" t="s">
        <v>27</v>
      </c>
      <c r="G20" s="9"/>
      <c r="H20" s="10"/>
      <c r="I20" s="9"/>
      <c r="J20" s="9"/>
      <c r="K20" s="9"/>
      <c r="L20" s="9"/>
      <c r="M20" s="9"/>
      <c r="N20" s="9"/>
      <c r="O20" s="9"/>
      <c r="P20" s="4"/>
      <c r="Q20" s="4"/>
      <c r="R20" s="4"/>
    </row>
    <row r="21" spans="1:18" x14ac:dyDescent="0.25">
      <c r="A21" s="3"/>
      <c r="C21" s="1" t="s">
        <v>28</v>
      </c>
      <c r="P21" s="4"/>
      <c r="Q21" s="4"/>
      <c r="R21" s="4"/>
    </row>
    <row r="22" spans="1:18" ht="16.5" thickBot="1" x14ac:dyDescent="0.3">
      <c r="P22" s="4"/>
      <c r="Q22" s="4"/>
      <c r="R22" s="4"/>
    </row>
    <row r="23" spans="1:18" x14ac:dyDescent="0.25">
      <c r="A23" s="45" t="s">
        <v>8</v>
      </c>
      <c r="B23" s="46"/>
      <c r="C23" s="46"/>
      <c r="D23" s="47"/>
      <c r="E23" s="35"/>
      <c r="F23" s="46"/>
      <c r="G23" s="35"/>
      <c r="H23" s="35"/>
      <c r="I23" s="35"/>
      <c r="J23" s="36"/>
    </row>
    <row r="24" spans="1:18" x14ac:dyDescent="0.25">
      <c r="A24" s="48"/>
      <c r="B24" s="49"/>
      <c r="C24" s="49"/>
      <c r="D24" s="50"/>
      <c r="E24" s="49"/>
      <c r="F24" s="49"/>
      <c r="G24" s="38"/>
      <c r="H24" s="38"/>
      <c r="I24" s="38"/>
      <c r="J24" s="39"/>
    </row>
    <row r="25" spans="1:18" x14ac:dyDescent="0.25">
      <c r="A25" s="48" t="s">
        <v>9</v>
      </c>
      <c r="B25" s="49" t="s">
        <v>30</v>
      </c>
      <c r="C25" s="49"/>
      <c r="D25" s="51">
        <v>0.08</v>
      </c>
      <c r="E25" s="38"/>
      <c r="F25" s="49"/>
      <c r="G25" s="38"/>
      <c r="H25" s="38"/>
      <c r="I25" s="38"/>
      <c r="J25" s="39"/>
    </row>
    <row r="26" spans="1:18" x14ac:dyDescent="0.25">
      <c r="A26" s="48"/>
      <c r="B26" s="49" t="s">
        <v>31</v>
      </c>
      <c r="C26" s="49"/>
      <c r="D26" s="51">
        <v>0.01</v>
      </c>
      <c r="E26" s="38" t="s">
        <v>34</v>
      </c>
      <c r="F26" s="49"/>
      <c r="G26" s="38"/>
      <c r="H26" s="38"/>
      <c r="I26" s="38"/>
      <c r="J26" s="39"/>
      <c r="M26" s="38"/>
      <c r="N26" s="38"/>
      <c r="O26" s="38"/>
    </row>
    <row r="27" spans="1:18" x14ac:dyDescent="0.25">
      <c r="A27" s="48"/>
      <c r="B27" s="49" t="s">
        <v>32</v>
      </c>
      <c r="C27" s="49"/>
      <c r="D27" s="51">
        <v>0.04</v>
      </c>
      <c r="E27" s="38" t="s">
        <v>33</v>
      </c>
      <c r="F27" s="49"/>
      <c r="G27" s="38"/>
      <c r="H27" s="38"/>
      <c r="I27" s="38"/>
      <c r="J27" s="39"/>
      <c r="M27" s="38"/>
      <c r="N27" s="38"/>
      <c r="O27" s="38"/>
    </row>
    <row r="28" spans="1:18" x14ac:dyDescent="0.25">
      <c r="A28" s="48"/>
      <c r="B28" s="49"/>
      <c r="C28" s="49"/>
      <c r="D28" s="52"/>
      <c r="E28" s="38"/>
      <c r="F28" s="49"/>
      <c r="G28" s="38"/>
      <c r="H28" s="38"/>
      <c r="I28" s="38"/>
      <c r="J28" s="39"/>
      <c r="M28" s="38"/>
      <c r="N28" s="38"/>
      <c r="O28" s="38"/>
    </row>
    <row r="29" spans="1:18" x14ac:dyDescent="0.25">
      <c r="A29" s="48"/>
      <c r="B29" s="49"/>
      <c r="C29" s="49"/>
      <c r="D29" s="52"/>
      <c r="E29" s="38"/>
      <c r="F29" s="49"/>
      <c r="G29" s="38"/>
      <c r="H29" s="38"/>
      <c r="I29" s="38"/>
      <c r="J29" s="39"/>
      <c r="M29" s="38"/>
      <c r="N29" s="38"/>
      <c r="O29" s="38"/>
    </row>
    <row r="30" spans="1:18" x14ac:dyDescent="0.25">
      <c r="A30" s="48"/>
      <c r="B30" s="49" t="s">
        <v>10</v>
      </c>
      <c r="C30" s="49"/>
      <c r="D30" s="53">
        <f>D25+D26+D27</f>
        <v>0.13</v>
      </c>
      <c r="E30" s="38"/>
      <c r="F30" s="49"/>
      <c r="G30" s="38"/>
      <c r="H30" s="38"/>
      <c r="I30" s="38"/>
      <c r="J30" s="39"/>
      <c r="M30" s="38"/>
      <c r="N30" s="38"/>
      <c r="O30" s="38"/>
      <c r="R30" s="6"/>
    </row>
    <row r="31" spans="1:18" x14ac:dyDescent="0.25">
      <c r="A31" s="48"/>
      <c r="B31" s="49"/>
      <c r="C31" s="49"/>
      <c r="D31" s="50"/>
      <c r="E31" s="38"/>
      <c r="F31" s="49"/>
      <c r="G31" s="38"/>
      <c r="H31" s="38"/>
      <c r="I31" s="38"/>
      <c r="J31" s="39"/>
      <c r="M31" s="38"/>
      <c r="N31" s="40"/>
      <c r="O31" s="38"/>
      <c r="R31" s="6"/>
    </row>
    <row r="32" spans="1:18" x14ac:dyDescent="0.25">
      <c r="A32" s="37"/>
      <c r="B32" s="38"/>
      <c r="C32" s="54"/>
      <c r="D32" s="38"/>
      <c r="E32" s="49"/>
      <c r="F32" s="49"/>
      <c r="G32" s="38"/>
      <c r="H32" s="38"/>
      <c r="I32" s="38"/>
      <c r="J32" s="39"/>
      <c r="M32" s="38"/>
      <c r="N32" s="38"/>
      <c r="O32" s="38"/>
      <c r="P32" s="2"/>
      <c r="Q32" s="2"/>
      <c r="R32" s="2"/>
    </row>
    <row r="33" spans="1:15" x14ac:dyDescent="0.25">
      <c r="A33" s="37"/>
      <c r="B33" s="38"/>
      <c r="C33" s="38"/>
      <c r="D33" s="38"/>
      <c r="E33" s="38"/>
      <c r="F33" s="38"/>
      <c r="G33" s="38"/>
      <c r="H33" s="38"/>
      <c r="I33" s="38"/>
      <c r="J33" s="39"/>
      <c r="M33" s="38"/>
      <c r="N33" s="38"/>
      <c r="O33" s="38"/>
    </row>
    <row r="34" spans="1:15" x14ac:dyDescent="0.25">
      <c r="A34" s="48" t="s">
        <v>11</v>
      </c>
      <c r="B34" s="49" t="s">
        <v>12</v>
      </c>
      <c r="C34" s="55"/>
      <c r="D34" s="40">
        <v>-5.0000000000000001E-3</v>
      </c>
      <c r="E34" s="38"/>
      <c r="F34" s="38" t="s">
        <v>29</v>
      </c>
      <c r="G34" s="38"/>
      <c r="H34" s="38"/>
      <c r="I34" s="38"/>
      <c r="J34" s="39"/>
    </row>
    <row r="35" spans="1:15" ht="15.75" hidden="1" customHeight="1" x14ac:dyDescent="0.25">
      <c r="A35" s="37"/>
      <c r="B35" s="38"/>
      <c r="C35" s="38"/>
      <c r="D35" s="38"/>
      <c r="E35" s="38"/>
      <c r="F35" s="38"/>
      <c r="G35" s="38"/>
      <c r="H35" s="38"/>
      <c r="I35" s="38"/>
      <c r="J35" s="39"/>
    </row>
    <row r="36" spans="1:15" ht="15.75" hidden="1" customHeight="1" x14ac:dyDescent="0.25">
      <c r="A36" s="37"/>
      <c r="B36" s="38" t="s">
        <v>13</v>
      </c>
      <c r="C36" s="38"/>
      <c r="D36" s="56">
        <v>0.08</v>
      </c>
      <c r="E36" s="38"/>
      <c r="F36" s="38"/>
      <c r="G36" s="38"/>
      <c r="H36" s="38"/>
      <c r="I36" s="38"/>
      <c r="J36" s="39"/>
    </row>
    <row r="37" spans="1:15" ht="15.75" hidden="1" customHeight="1" x14ac:dyDescent="0.25">
      <c r="A37" s="37"/>
      <c r="B37" s="38"/>
      <c r="C37" s="38"/>
      <c r="D37" s="38"/>
      <c r="E37" s="38"/>
      <c r="F37" s="38"/>
      <c r="G37" s="38"/>
      <c r="H37" s="38"/>
      <c r="I37" s="38"/>
      <c r="J37" s="39"/>
    </row>
    <row r="38" spans="1:15" ht="15.75" hidden="1" customHeight="1" x14ac:dyDescent="0.25">
      <c r="A38" s="37"/>
      <c r="B38" s="38"/>
      <c r="C38" s="38"/>
      <c r="D38" s="38"/>
      <c r="E38" s="38"/>
      <c r="F38" s="38"/>
      <c r="G38" s="38"/>
      <c r="H38" s="38"/>
      <c r="I38" s="38"/>
      <c r="J38" s="39"/>
    </row>
    <row r="39" spans="1:15" ht="15.75" hidden="1" customHeight="1" x14ac:dyDescent="0.25">
      <c r="A39" s="37"/>
      <c r="B39" s="38"/>
      <c r="C39" s="38"/>
      <c r="D39" s="38"/>
      <c r="E39" s="38"/>
      <c r="F39" s="38"/>
      <c r="G39" s="38"/>
      <c r="H39" s="38"/>
      <c r="I39" s="38"/>
      <c r="J39" s="39"/>
    </row>
    <row r="40" spans="1:15" hidden="1" x14ac:dyDescent="0.25">
      <c r="A40" s="37"/>
      <c r="B40" s="57"/>
      <c r="C40" s="57">
        <v>0.12</v>
      </c>
      <c r="D40" s="57" t="e">
        <f>((NPV(C40,$H$15:$R$15)+(#REF!*(1+#REF!)/(C40-#REF!))/(1+C40)^(2040-2020))/$D$50)/$C$51-1</f>
        <v>#REF!</v>
      </c>
      <c r="E40" s="38"/>
      <c r="F40" s="38"/>
      <c r="G40" s="38"/>
      <c r="H40" s="38"/>
      <c r="I40" s="38"/>
      <c r="J40" s="39"/>
    </row>
    <row r="41" spans="1:15" hidden="1" x14ac:dyDescent="0.25">
      <c r="A41" s="37"/>
      <c r="B41" s="57"/>
      <c r="C41" s="57">
        <v>0.14000000000000001</v>
      </c>
      <c r="D41" s="57" t="e">
        <f>((NPV(C41,$H$15:$R$15)+(#REF!*(1+#REF!)/(C41-#REF!))/(1+C41)^(2040-2020))/$D$50)/$C$51-1</f>
        <v>#REF!</v>
      </c>
      <c r="E41" s="38"/>
      <c r="F41" s="38"/>
      <c r="G41" s="38"/>
      <c r="H41" s="38"/>
      <c r="I41" s="38"/>
      <c r="J41" s="39"/>
    </row>
    <row r="42" spans="1:15" hidden="1" x14ac:dyDescent="0.25">
      <c r="A42" s="37"/>
      <c r="B42" s="57"/>
      <c r="C42" s="57">
        <v>0.16</v>
      </c>
      <c r="D42" s="57" t="e">
        <f>((NPV(C42,$H$15:$R$15)+(#REF!*(1+#REF!)/(C42-#REF!))/(1+C42)^(2040-2020))/$D$50)/$C$51-1</f>
        <v>#REF!</v>
      </c>
      <c r="E42" s="38"/>
      <c r="F42" s="38"/>
      <c r="G42" s="38"/>
      <c r="H42" s="38"/>
      <c r="I42" s="38"/>
      <c r="J42" s="39"/>
    </row>
    <row r="43" spans="1:15" hidden="1" x14ac:dyDescent="0.25">
      <c r="A43" s="37"/>
      <c r="B43" s="57"/>
      <c r="C43" s="57">
        <v>0.18</v>
      </c>
      <c r="D43" s="57" t="e">
        <f>((NPV(C43,$H$15:$R$15)+(#REF!*(1+#REF!)/(C43-#REF!))/(1+C43)^(2040-2020))/$D$50)/$C$51-1</f>
        <v>#REF!</v>
      </c>
      <c r="E43" s="38"/>
      <c r="F43" s="38"/>
      <c r="G43" s="38"/>
      <c r="H43" s="38"/>
      <c r="I43" s="38"/>
      <c r="J43" s="39"/>
    </row>
    <row r="44" spans="1:15" hidden="1" x14ac:dyDescent="0.25">
      <c r="A44" s="37"/>
      <c r="B44" s="57"/>
      <c r="C44" s="57">
        <v>0.2</v>
      </c>
      <c r="D44" s="57" t="e">
        <f>((NPV(C44,$H$15:$R$15)+(#REF!*(1+#REF!)/(C44-#REF!))/(1+C44)^(2040-2020))/$D$50)/$C$51-1</f>
        <v>#REF!</v>
      </c>
      <c r="E44" s="38"/>
      <c r="F44" s="38"/>
      <c r="G44" s="38"/>
      <c r="H44" s="38"/>
      <c r="I44" s="38"/>
      <c r="J44" s="39"/>
    </row>
    <row r="45" spans="1:15" x14ac:dyDescent="0.25">
      <c r="A45" s="37"/>
      <c r="B45" s="38"/>
      <c r="C45" s="38"/>
      <c r="D45" s="38"/>
      <c r="E45" s="38"/>
      <c r="F45" s="38"/>
      <c r="G45" s="38"/>
      <c r="H45" s="38"/>
      <c r="I45" s="38"/>
      <c r="J45" s="39"/>
    </row>
    <row r="46" spans="1:15" ht="16.5" thickBot="1" x14ac:dyDescent="0.3">
      <c r="A46" s="41"/>
      <c r="B46" s="42" t="s">
        <v>16</v>
      </c>
      <c r="C46" s="42"/>
      <c r="D46" s="58">
        <f>D30+D34</f>
        <v>0.125</v>
      </c>
      <c r="E46" s="42"/>
      <c r="F46" s="42"/>
      <c r="G46" s="42"/>
      <c r="H46" s="42"/>
      <c r="I46" s="42"/>
      <c r="J46" s="43"/>
    </row>
    <row r="48" spans="1:15" x14ac:dyDescent="0.25">
      <c r="A48" s="27"/>
      <c r="B48" s="28"/>
      <c r="C48" s="29">
        <v>44456</v>
      </c>
      <c r="D48" s="30" t="s">
        <v>3</v>
      </c>
      <c r="E48" s="31"/>
      <c r="F48" s="32"/>
      <c r="G48" s="33"/>
      <c r="H48" s="33"/>
      <c r="I48" s="33"/>
    </row>
    <row r="49" spans="1:8" x14ac:dyDescent="0.25">
      <c r="A49" s="59" t="s">
        <v>0</v>
      </c>
      <c r="B49" s="60" t="s">
        <v>6</v>
      </c>
      <c r="C49" s="61">
        <f>C50*C51</f>
        <v>1690.69039</v>
      </c>
      <c r="D49" s="62">
        <f>SUM(H19:R19)</f>
        <v>4653.2624128345396</v>
      </c>
      <c r="E49" s="60" t="s">
        <v>22</v>
      </c>
    </row>
    <row r="50" spans="1:8" x14ac:dyDescent="0.25">
      <c r="A50" s="59"/>
      <c r="B50" s="60" t="s">
        <v>18</v>
      </c>
      <c r="C50" s="61">
        <v>81.953000000000003</v>
      </c>
      <c r="D50" s="61">
        <f>C50*1.05</f>
        <v>86.050650000000005</v>
      </c>
      <c r="E50" s="60"/>
      <c r="F50" s="1" t="s">
        <v>35</v>
      </c>
    </row>
    <row r="51" spans="1:8" x14ac:dyDescent="0.25">
      <c r="A51" s="59"/>
      <c r="B51" s="60" t="s">
        <v>20</v>
      </c>
      <c r="C51" s="75">
        <v>20.63</v>
      </c>
      <c r="D51" s="63">
        <f>D49/(D50)</f>
        <v>54.0758543117866</v>
      </c>
      <c r="E51" s="60" t="s">
        <v>22</v>
      </c>
      <c r="F51" s="74"/>
      <c r="G51" s="12"/>
      <c r="H51" s="12"/>
    </row>
    <row r="52" spans="1:8" x14ac:dyDescent="0.25">
      <c r="A52" s="59"/>
      <c r="B52" s="60" t="s">
        <v>2</v>
      </c>
      <c r="C52" s="60"/>
      <c r="D52" s="76">
        <f>IF(C51/D51-1&gt;0,0,C51/D51-1)</f>
        <v>-0.61849886122828401</v>
      </c>
      <c r="E52" s="60"/>
      <c r="F52" s="5"/>
    </row>
    <row r="53" spans="1:8" x14ac:dyDescent="0.25">
      <c r="A53" s="59"/>
      <c r="B53" s="60" t="s">
        <v>25</v>
      </c>
      <c r="C53" s="60"/>
      <c r="D53" s="77">
        <f>IF(C51/D51-1&lt;0,0,C51/D51-1)</f>
        <v>0</v>
      </c>
      <c r="E53" s="60"/>
      <c r="F53" s="5"/>
    </row>
    <row r="54" spans="1:8" x14ac:dyDescent="0.25">
      <c r="A54" s="60"/>
      <c r="B54" s="60"/>
      <c r="C54" s="60"/>
      <c r="D54" s="64"/>
      <c r="E54" s="64"/>
    </row>
    <row r="55" spans="1:8" x14ac:dyDescent="0.25">
      <c r="A55" s="64" t="s">
        <v>4</v>
      </c>
      <c r="B55" s="60"/>
      <c r="C55" s="66">
        <f>D46</f>
        <v>0.125</v>
      </c>
      <c r="D55" s="65"/>
      <c r="E55" s="60"/>
    </row>
  </sheetData>
  <conditionalFormatting sqref="L6:L8">
    <cfRule type="top10" dxfId="3" priority="5" percent="1" rank="10"/>
  </conditionalFormatting>
  <conditionalFormatting sqref="G6:J8">
    <cfRule type="top10" dxfId="2" priority="4" percent="1" rank="10"/>
  </conditionalFormatting>
  <conditionalFormatting sqref="L9">
    <cfRule type="top10" dxfId="1" priority="3" percent="1" rank="10"/>
  </conditionalFormatting>
  <conditionalFormatting sqref="L2:L5">
    <cfRule type="top10" dxfId="0" priority="2" percent="1" rank="10"/>
  </conditionalFormatting>
  <conditionalFormatting sqref="C32">
    <cfRule type="colorScale" priority="1">
      <colorScale>
        <cfvo type="num" val="0"/>
        <cfvo type="percentile" val="7.0000000000000007E-2"/>
        <cfvo type="num" val="0.15"/>
        <color rgb="FFFFE1E2"/>
        <color rgb="FFFFFAE0"/>
        <color rgb="FF9CF5DC"/>
      </colorScale>
    </cfRule>
  </conditionalFormatting>
  <conditionalFormatting sqref="D40:D44">
    <cfRule type="colorScale" priority="6">
      <colorScale>
        <cfvo type="min"/>
        <cfvo type="num" val="0"/>
        <cfvo type="max"/>
        <color rgb="FFFFE1E2"/>
        <color rgb="FFFFFAE0"/>
        <color rgb="FF9CF5DC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Pessimistisch</vt:lpstr>
      <vt:lpstr>Optimistisch</vt:lpstr>
      <vt:lpstr>Perfekt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Jakob</dc:creator>
  <cp:lastModifiedBy>chris_grca1ny</cp:lastModifiedBy>
  <cp:lastPrinted>2021-08-03T18:16:56Z</cp:lastPrinted>
  <dcterms:created xsi:type="dcterms:W3CDTF">2020-02-09T06:30:31Z</dcterms:created>
  <dcterms:modified xsi:type="dcterms:W3CDTF">2021-09-17T20:18:16Z</dcterms:modified>
</cp:coreProperties>
</file>