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7C Solar\"/>
    </mc:Choice>
  </mc:AlternateContent>
  <bookViews>
    <workbookView xWindow="0" yWindow="0" windowWidth="24000" windowHeight="9630" activeTab="1"/>
  </bookViews>
  <sheets>
    <sheet name="Pessimistisch" sheetId="15" r:id="rId1"/>
    <sheet name="Optimistisch" sheetId="10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5" l="1"/>
  <c r="J15" i="15"/>
  <c r="K15" i="15"/>
  <c r="I14" i="15"/>
  <c r="J14" i="15"/>
  <c r="K14" i="15"/>
  <c r="I11" i="15"/>
  <c r="J11" i="15"/>
  <c r="K11" i="15"/>
  <c r="C49" i="15"/>
  <c r="D30" i="15"/>
  <c r="D46" i="15"/>
  <c r="C55" i="15"/>
  <c r="H19" i="15"/>
  <c r="I19" i="15"/>
  <c r="J19" i="15"/>
  <c r="K19" i="15"/>
  <c r="D50" i="15"/>
  <c r="K16" i="15"/>
  <c r="J16" i="15"/>
  <c r="I16" i="15"/>
  <c r="H16" i="15"/>
  <c r="G16" i="15"/>
  <c r="F16" i="15"/>
  <c r="G13" i="15"/>
  <c r="F13" i="15"/>
  <c r="E13" i="15"/>
  <c r="G12" i="15"/>
  <c r="F12" i="15"/>
  <c r="R15" i="10"/>
  <c r="L11" i="10"/>
  <c r="M11" i="10"/>
  <c r="N11" i="10"/>
  <c r="O11" i="10"/>
  <c r="P11" i="10"/>
  <c r="Q11" i="10"/>
  <c r="R11" i="10"/>
  <c r="R14" i="10"/>
  <c r="E59" i="10"/>
  <c r="L14" i="10"/>
  <c r="L15" i="10"/>
  <c r="M14" i="10"/>
  <c r="M15" i="10"/>
  <c r="N14" i="10"/>
  <c r="N15" i="10"/>
  <c r="O14" i="10"/>
  <c r="O15" i="10"/>
  <c r="P14" i="10"/>
  <c r="P15" i="10"/>
  <c r="Q14" i="10"/>
  <c r="Q15" i="10"/>
  <c r="E63" i="10"/>
  <c r="E65" i="10"/>
  <c r="E67" i="10"/>
  <c r="C49" i="10"/>
  <c r="E71" i="10"/>
  <c r="E69" i="10"/>
  <c r="D50" i="10"/>
  <c r="H12" i="10"/>
  <c r="H13" i="10"/>
  <c r="I13" i="10"/>
  <c r="J13" i="10"/>
  <c r="H16" i="10"/>
  <c r="I16" i="10"/>
  <c r="J16" i="10"/>
  <c r="K16" i="10"/>
  <c r="D30" i="10"/>
  <c r="D46" i="10"/>
  <c r="C55" i="10"/>
  <c r="G16" i="10"/>
  <c r="H19" i="10"/>
  <c r="I19" i="10"/>
  <c r="J19" i="10"/>
  <c r="K19" i="10"/>
  <c r="F16" i="10"/>
  <c r="G13" i="10"/>
  <c r="F13" i="10"/>
  <c r="J12" i="10"/>
  <c r="I12" i="10"/>
  <c r="G12" i="10"/>
  <c r="K13" i="10"/>
  <c r="D44" i="10"/>
  <c r="D43" i="10"/>
  <c r="D42" i="10"/>
  <c r="D41" i="10"/>
  <c r="D40" i="10"/>
  <c r="R19" i="10"/>
  <c r="M19" i="10"/>
  <c r="N19" i="10"/>
  <c r="O19" i="10"/>
  <c r="P19" i="10"/>
  <c r="Q19" i="10"/>
  <c r="L19" i="10"/>
  <c r="D49" i="10"/>
  <c r="D51" i="10"/>
  <c r="D52" i="10"/>
  <c r="K12" i="10"/>
  <c r="D53" i="10"/>
  <c r="L11" i="15"/>
  <c r="L14" i="15"/>
  <c r="L15" i="15"/>
  <c r="M11" i="15"/>
  <c r="M14" i="15"/>
  <c r="M15" i="15"/>
  <c r="N11" i="15"/>
  <c r="N14" i="15"/>
  <c r="N15" i="15"/>
  <c r="O11" i="15"/>
  <c r="O14" i="15"/>
  <c r="O15" i="15"/>
  <c r="P11" i="15"/>
  <c r="P14" i="15"/>
  <c r="P15" i="15"/>
  <c r="Q11" i="15"/>
  <c r="Q14" i="15"/>
  <c r="Q15" i="15"/>
  <c r="R11" i="15"/>
  <c r="R14" i="15"/>
  <c r="R15" i="15"/>
  <c r="E63" i="15"/>
  <c r="E65" i="15"/>
  <c r="E59" i="15"/>
  <c r="E67" i="15"/>
  <c r="E71" i="15"/>
  <c r="E69" i="15"/>
  <c r="M19" i="15"/>
  <c r="N19" i="15"/>
  <c r="O19" i="15"/>
  <c r="P19" i="15"/>
  <c r="Q19" i="15"/>
  <c r="R19" i="15"/>
  <c r="L19" i="15"/>
  <c r="D49" i="15"/>
  <c r="D51" i="15"/>
  <c r="D53" i="15"/>
  <c r="D52" i="15"/>
  <c r="D44" i="15"/>
  <c r="D43" i="15"/>
  <c r="D42" i="15"/>
  <c r="D41" i="15"/>
  <c r="D40" i="15"/>
  <c r="H12" i="15"/>
  <c r="H13" i="15"/>
</calcChain>
</file>

<file path=xl/sharedStrings.xml><?xml version="1.0" encoding="utf-8"?>
<sst xmlns="http://schemas.openxmlformats.org/spreadsheetml/2006/main" count="80" uniqueCount="40">
  <si>
    <t>Bewertung</t>
  </si>
  <si>
    <t>Umsatz-Wachstum, %</t>
  </si>
  <si>
    <t>Unterbewertung</t>
  </si>
  <si>
    <t>Fairer Wert</t>
  </si>
  <si>
    <t>Diskontierungsfaktor (WACC)</t>
  </si>
  <si>
    <t>Umsatz</t>
  </si>
  <si>
    <t>Marktkapitalisierung, Mio.</t>
  </si>
  <si>
    <t>Verhältnis EBIT zu Konzerngewinn:</t>
  </si>
  <si>
    <t>Bestimmung des WACC:</t>
  </si>
  <si>
    <t>Branche</t>
  </si>
  <si>
    <t>Gesamt Branche:</t>
  </si>
  <si>
    <t>EK Quote:</t>
  </si>
  <si>
    <t>Vereinfachter WACC:</t>
  </si>
  <si>
    <t>Schätzungen »</t>
  </si>
  <si>
    <t>Gewinn (30% Zinsen/Steuern/sonstiges)</t>
  </si>
  <si>
    <t>WACC gesamt</t>
  </si>
  <si>
    <t>Discounted Net-Profit Modell</t>
  </si>
  <si>
    <t>Anzahl Aktien gesamt, Mio.</t>
  </si>
  <si>
    <t>Abgezinster Gewinn:</t>
  </si>
  <si>
    <t xml:space="preserve">Kurs pro Aktie </t>
  </si>
  <si>
    <t>2031ff.</t>
  </si>
  <si>
    <t>Sicherheitszuschlag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</si>
  <si>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</si>
  <si>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</si>
  <si>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</si>
  <si>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</si>
  <si>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</si>
  <si>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</si>
  <si>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</si>
  <si>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</si>
  <si>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</si>
  <si>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</si>
  <si>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</si>
  <si>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Optimistische Annahmen für 7C Solarparken</t>
  </si>
  <si>
    <t>Alle Angaben in Mio. EUR</t>
  </si>
  <si>
    <t>Energieproduzent</t>
  </si>
  <si>
    <t>kleines Unternehmen</t>
  </si>
  <si>
    <t>releativ hohe FK-Quote</t>
  </si>
  <si>
    <t>Pessimistisch Annahmen für 7C Solarparken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</si>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</sst>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6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166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6" fontId="1" fillId="2" borderId="0" xfId="1" applyNumberFormat="1" applyFont="1" applyFill="1" applyBorder="1"/>
    <xf numFmtId="3" fontId="3" fillId="2" borderId="0" xfId="0" applyNumberFormat="1" applyFont="1" applyFill="1" applyBorder="1"/>
    <xf numFmtId="166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6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0" applyNumberFormat="1" applyFill="1"/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CC99FF"/>
      <color rgb="FFCCCCFF"/>
      <color rgb="FF9966FF"/>
      <color rgb="FF9900CC"/>
      <color rgb="FFFFEB7D"/>
      <color rgb="FFFFD802"/>
      <color rgb="FFFFFAE0"/>
      <color rgb="FFCBD5E0"/>
      <color rgb="FFFFE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opLeftCell="A19" zoomScale="90" zoomScaleNormal="9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16</v>
      </c>
    </row>
    <row r="4" spans="1:28" x14ac:dyDescent="0.25">
      <c r="B4" s="29" t="s">
        <v>38</v>
      </c>
    </row>
    <row r="6" spans="1:28" x14ac:dyDescent="0.25">
      <c r="B6" s="1" t="s">
        <v>34</v>
      </c>
    </row>
    <row r="9" spans="1:28" s="8" customFormat="1" x14ac:dyDescent="0.25"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20</v>
      </c>
    </row>
    <row r="11" spans="1:28" x14ac:dyDescent="0.25">
      <c r="A11" s="5"/>
      <c r="B11" s="4" t="s">
        <v>5</v>
      </c>
      <c r="C11" s="12"/>
      <c r="D11" s="12"/>
      <c r="E11" s="12">
        <v>40.32</v>
      </c>
      <c r="F11" s="12">
        <v>43.12</v>
      </c>
      <c r="G11" s="12">
        <v>50.59</v>
      </c>
      <c r="H11" s="16">
        <v>52.7</v>
      </c>
      <c r="I11" s="16">
        <f t="shared" ref="I11" si="0">H11*(1+I12)</f>
        <v>56.916000000000004</v>
      </c>
      <c r="J11" s="16">
        <f t="shared" ref="J11" si="1">I11*(1+J12)</f>
        <v>60.330960000000005</v>
      </c>
      <c r="K11" s="16">
        <f t="shared" ref="K11" si="2">J11*(1+K12)</f>
        <v>63.950817600000008</v>
      </c>
      <c r="L11" s="16">
        <f t="shared" ref="L11" si="3">K11*(1+L12)</f>
        <v>69.066883008000019</v>
      </c>
      <c r="M11" s="16">
        <f>L11*(1+M12)</f>
        <v>74.592233648640033</v>
      </c>
      <c r="N11" s="16">
        <f t="shared" ref="N11:R11" si="4">M11*(1+N12)</f>
        <v>79.067767667558442</v>
      </c>
      <c r="O11" s="16">
        <f t="shared" si="4"/>
        <v>83.021156050936369</v>
      </c>
      <c r="P11" s="16">
        <f t="shared" si="4"/>
        <v>86.342002292973831</v>
      </c>
      <c r="Q11" s="16">
        <f t="shared" si="4"/>
        <v>89.795682384692782</v>
      </c>
      <c r="R11" s="16">
        <f t="shared" si="4"/>
        <v>92.938531268157021</v>
      </c>
    </row>
    <row r="12" spans="1:28" x14ac:dyDescent="0.25">
      <c r="A12" s="5"/>
      <c r="B12" s="4" t="s">
        <v>1</v>
      </c>
      <c r="C12" s="13"/>
      <c r="D12" s="13"/>
      <c r="E12" s="13"/>
      <c r="F12" s="13">
        <f>F11/E11-1</f>
        <v>6.944444444444442E-2</v>
      </c>
      <c r="G12" s="13">
        <f>G11/F11-1</f>
        <v>0.17323747680890556</v>
      </c>
      <c r="H12" s="67">
        <f>H11/G11-1</f>
        <v>4.1707847400672016E-2</v>
      </c>
      <c r="I12" s="67">
        <v>0.08</v>
      </c>
      <c r="J12" s="67">
        <v>0.06</v>
      </c>
      <c r="K12" s="67">
        <v>0.06</v>
      </c>
      <c r="L12" s="67">
        <v>0.08</v>
      </c>
      <c r="M12" s="17">
        <v>0.08</v>
      </c>
      <c r="N12" s="17">
        <v>0.06</v>
      </c>
      <c r="O12" s="17">
        <v>0.05</v>
      </c>
      <c r="P12" s="17">
        <v>0.04</v>
      </c>
      <c r="Q12" s="17">
        <v>0.04</v>
      </c>
      <c r="R12" s="17">
        <v>3.5000000000000003E-2</v>
      </c>
    </row>
    <row r="13" spans="1:28" ht="15.95" customHeight="1" x14ac:dyDescent="0.25">
      <c r="A13" s="5"/>
      <c r="B13" s="4" t="s">
        <v>23</v>
      </c>
      <c r="C13" s="13"/>
      <c r="D13" s="13"/>
      <c r="E13" s="13">
        <f t="shared" ref="E13:H13" si="5">E14/E11</f>
        <v>0.33779761904761901</v>
      </c>
      <c r="F13" s="13">
        <f t="shared" si="5"/>
        <v>0.30102040816326531</v>
      </c>
      <c r="G13" s="13">
        <f t="shared" si="5"/>
        <v>0.30697766356987544</v>
      </c>
      <c r="H13" s="67">
        <f t="shared" si="5"/>
        <v>0.2870967741935484</v>
      </c>
      <c r="I13" s="67">
        <v>0.3</v>
      </c>
      <c r="J13" s="67">
        <v>0.32</v>
      </c>
      <c r="K13" s="67">
        <v>0.34</v>
      </c>
      <c r="L13" s="67">
        <v>0.34</v>
      </c>
      <c r="M13" s="67">
        <v>0.34</v>
      </c>
      <c r="N13" s="67">
        <v>0.34</v>
      </c>
      <c r="O13" s="67">
        <v>0.35</v>
      </c>
      <c r="P13" s="67">
        <v>0.35</v>
      </c>
      <c r="Q13" s="67">
        <v>0.35</v>
      </c>
      <c r="R13" s="67">
        <v>0.35</v>
      </c>
    </row>
    <row r="14" spans="1:28" ht="17.100000000000001" customHeight="1" x14ac:dyDescent="0.25">
      <c r="A14" s="5"/>
      <c r="B14" s="4" t="s">
        <v>24</v>
      </c>
      <c r="C14" s="12"/>
      <c r="D14" s="12"/>
      <c r="E14" s="12">
        <v>13.62</v>
      </c>
      <c r="F14" s="12">
        <v>12.98</v>
      </c>
      <c r="G14" s="12">
        <v>15.53</v>
      </c>
      <c r="H14" s="16">
        <v>15.13</v>
      </c>
      <c r="I14" s="16">
        <f t="shared" ref="I14:K14" si="6">I11*I13</f>
        <v>17.0748</v>
      </c>
      <c r="J14" s="16">
        <f t="shared" si="6"/>
        <v>19.305907200000004</v>
      </c>
      <c r="K14" s="16">
        <f t="shared" si="6"/>
        <v>21.743277984000006</v>
      </c>
      <c r="L14" s="16">
        <f t="shared" ref="L14:R14" si="7">L11*L13</f>
        <v>23.482740222720007</v>
      </c>
      <c r="M14" s="16">
        <f t="shared" si="7"/>
        <v>25.361359440537612</v>
      </c>
      <c r="N14" s="16">
        <f t="shared" si="7"/>
        <v>26.883041006969872</v>
      </c>
      <c r="O14" s="16">
        <f>O11*O13</f>
        <v>29.057404617827729</v>
      </c>
      <c r="P14" s="16">
        <f t="shared" si="7"/>
        <v>30.219700802540839</v>
      </c>
      <c r="Q14" s="16">
        <f t="shared" si="7"/>
        <v>31.428488834642472</v>
      </c>
      <c r="R14" s="16">
        <f t="shared" si="7"/>
        <v>32.528485943854953</v>
      </c>
    </row>
    <row r="15" spans="1:28" ht="16.5" thickBot="1" x14ac:dyDescent="0.3">
      <c r="A15" s="15">
        <v>0.3</v>
      </c>
      <c r="B15" s="4" t="s">
        <v>14</v>
      </c>
      <c r="C15" s="14"/>
      <c r="D15" s="12"/>
      <c r="E15" s="12">
        <v>5.89</v>
      </c>
      <c r="F15" s="12">
        <v>7.88</v>
      </c>
      <c r="G15" s="12">
        <v>5.25</v>
      </c>
      <c r="H15" s="16">
        <v>7.08</v>
      </c>
      <c r="I15" s="16">
        <f t="shared" ref="I15:K15" si="8">I14*(1-$A$15)</f>
        <v>11.952359999999999</v>
      </c>
      <c r="J15" s="16">
        <f t="shared" si="8"/>
        <v>13.514135040000001</v>
      </c>
      <c r="K15" s="16">
        <f t="shared" si="8"/>
        <v>15.220294588800003</v>
      </c>
      <c r="L15" s="16">
        <f t="shared" ref="L15:Q15" si="9">L14*(1-$A$15)</f>
        <v>16.437918155904004</v>
      </c>
      <c r="M15" s="16">
        <f t="shared" si="9"/>
        <v>17.752951608376328</v>
      </c>
      <c r="N15" s="16">
        <f t="shared" si="9"/>
        <v>18.818128704878909</v>
      </c>
      <c r="O15" s="16">
        <f t="shared" si="9"/>
        <v>20.340183232479408</v>
      </c>
      <c r="P15" s="16">
        <f t="shared" si="9"/>
        <v>21.153790561778585</v>
      </c>
      <c r="Q15" s="16">
        <f t="shared" si="9"/>
        <v>21.999942184249729</v>
      </c>
      <c r="R15" s="16">
        <f>R14*(1-$A$15)</f>
        <v>22.769940160698464</v>
      </c>
    </row>
    <row r="16" spans="1:28" ht="32.25" thickBot="1" x14ac:dyDescent="0.3">
      <c r="A16" s="18" t="s">
        <v>7</v>
      </c>
      <c r="B16" s="19"/>
      <c r="C16" s="20"/>
      <c r="D16" s="20"/>
      <c r="E16" s="20"/>
      <c r="F16" s="20">
        <f>F15/F14</f>
        <v>0.60708782742681044</v>
      </c>
      <c r="G16" s="21">
        <f>G15/G14</f>
        <v>0.33805537669027691</v>
      </c>
      <c r="H16" s="21">
        <f t="shared" ref="H16:K16" si="10">H15/H14</f>
        <v>0.46794448116325182</v>
      </c>
      <c r="I16" s="21">
        <f t="shared" si="10"/>
        <v>0.7</v>
      </c>
      <c r="J16" s="21">
        <f t="shared" si="10"/>
        <v>0.7</v>
      </c>
      <c r="K16" s="21">
        <f t="shared" si="10"/>
        <v>0.7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18</v>
      </c>
      <c r="G19" s="62"/>
      <c r="H19" s="63">
        <f>H15/(1+$C$55)</f>
        <v>6.4657534246575343</v>
      </c>
      <c r="I19" s="63">
        <f>I15/(1+$C$55)^2</f>
        <v>9.9683993244511147</v>
      </c>
      <c r="J19" s="63">
        <f>J15/(1+$C$55)^3</f>
        <v>10.293093001077075</v>
      </c>
      <c r="K19" s="63">
        <f>K15/(1+$C$55)^4</f>
        <v>10.586845655217404</v>
      </c>
      <c r="L19" s="63">
        <f>L15/(1+$C$55)^5</f>
        <v>10.44182037226922</v>
      </c>
      <c r="M19" s="63">
        <f>M15/(1+$C$55)^6</f>
        <v>10.298781737032657</v>
      </c>
      <c r="N19" s="63">
        <f>N15/(1+$C$55)^7</f>
        <v>9.9695969326526193</v>
      </c>
      <c r="O19" s="63">
        <f>O15/(1+$C$55)^8</f>
        <v>9.8410606305394506</v>
      </c>
      <c r="P19" s="63">
        <f>P15/(1+$C$55)^9</f>
        <v>9.346760781516922</v>
      </c>
      <c r="Q19" s="63">
        <f>Q15/(1+$C$55)^10</f>
        <v>8.8772887787923267</v>
      </c>
      <c r="R19" s="64">
        <f>(R15/(C55-R12))/(1+C55)^10</f>
        <v>153.13323143416761</v>
      </c>
    </row>
    <row r="20" spans="1:18" x14ac:dyDescent="0.25">
      <c r="A20" s="2"/>
      <c r="C20" s="85">
        <v>0.3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9</v>
      </c>
      <c r="B25" s="44" t="s">
        <v>35</v>
      </c>
      <c r="C25" s="44"/>
      <c r="D25" s="46">
        <v>7.0000000000000007E-2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21</v>
      </c>
      <c r="C26" s="44"/>
      <c r="D26" s="46">
        <v>0.01</v>
      </c>
      <c r="E26" s="33" t="s">
        <v>36</v>
      </c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10</v>
      </c>
      <c r="C30" s="44"/>
      <c r="D30" s="48">
        <f>D25+D26+D27</f>
        <v>0.08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11</v>
      </c>
      <c r="B34" s="44"/>
      <c r="C34" s="50"/>
      <c r="D34" s="35">
        <v>1.4999999999999999E-2</v>
      </c>
      <c r="E34" s="33" t="s">
        <v>37</v>
      </c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12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15</v>
      </c>
      <c r="C46" s="37"/>
      <c r="D46" s="53">
        <f>D30+D34</f>
        <v>9.5000000000000001E-2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44470</v>
      </c>
      <c r="D48" s="25" t="s">
        <v>3</v>
      </c>
      <c r="E48" s="26"/>
      <c r="F48" s="27"/>
      <c r="G48" s="28"/>
      <c r="H48" s="28"/>
      <c r="I48" s="28"/>
    </row>
    <row r="49" spans="1:5" x14ac:dyDescent="0.25">
      <c r="A49" s="54" t="s">
        <v>0</v>
      </c>
      <c r="B49" s="55" t="s">
        <v>6</v>
      </c>
      <c r="C49" s="56">
        <f>C50*C51</f>
        <v>286.35749999999996</v>
      </c>
      <c r="D49" s="57">
        <f>SUM(H19:R19)</f>
        <v>249.22263207237393</v>
      </c>
      <c r="E49" s="55" t="s">
        <v>39</v>
      </c>
    </row>
    <row r="50" spans="1:5" x14ac:dyDescent="0.25">
      <c r="A50" s="54"/>
      <c r="B50" s="55" t="s">
        <v>17</v>
      </c>
      <c r="C50" s="56">
        <v>76.361999999999995</v>
      </c>
      <c r="D50" s="56">
        <f>C50</f>
        <v>76.361999999999995</v>
      </c>
      <c r="E50" s="55"/>
    </row>
    <row r="51" spans="1:5" x14ac:dyDescent="0.25">
      <c r="A51" s="54"/>
      <c r="B51" s="55" t="s">
        <v>19</v>
      </c>
      <c r="C51" s="68">
        <v>3.75</v>
      </c>
      <c r="D51" s="68">
        <f>D49/(D50)</f>
        <v>3.2636996421305615</v>
      </c>
      <c r="E51" s="55" t="s">
        <v>39</v>
      </c>
    </row>
    <row r="52" spans="1:5" x14ac:dyDescent="0.25">
      <c r="A52" s="54"/>
      <c r="B52" s="55" t="s">
        <v>2</v>
      </c>
      <c r="C52" s="55"/>
      <c r="D52" s="69">
        <f>IF(C51/D51-1&gt;0,0,C51/D51-1)</f>
        <v>0</v>
      </c>
      <c r="E52" s="55"/>
    </row>
    <row r="53" spans="1:5" x14ac:dyDescent="0.25">
      <c r="A53" s="54"/>
      <c r="B53" s="55" t="s">
        <v>22</v>
      </c>
      <c r="C53" s="55"/>
      <c r="D53" s="70">
        <f>IF(C51/D51-1&lt;0,0,C51/D51-1)</f>
        <v>0.14900279167600705</v>
      </c>
      <c r="E53" s="55"/>
    </row>
    <row r="54" spans="1:5" x14ac:dyDescent="0.25">
      <c r="A54" s="55"/>
      <c r="B54" s="55"/>
      <c r="C54" s="55"/>
      <c r="D54" s="58"/>
      <c r="E54" s="58"/>
    </row>
    <row r="55" spans="1:5" x14ac:dyDescent="0.25">
      <c r="A55" s="58" t="s">
        <v>4</v>
      </c>
      <c r="B55" s="55"/>
      <c r="C55" s="60">
        <f>D46</f>
        <v>9.5000000000000001E-2</v>
      </c>
      <c r="D55" s="59"/>
      <c r="E55" s="55"/>
    </row>
    <row r="56" spans="1:5" ht="16.5" thickBot="1" x14ac:dyDescent="0.3">
      <c r="A56" s="29"/>
      <c r="C56" s="79"/>
      <c r="D56" s="80"/>
    </row>
    <row r="57" spans="1:5" x14ac:dyDescent="0.25">
      <c r="A57" s="71" t="s">
        <v>32</v>
      </c>
      <c r="B57" s="30"/>
      <c r="C57" s="82">
        <v>22</v>
      </c>
      <c r="D57" s="30"/>
      <c r="E57" s="31"/>
    </row>
    <row r="58" spans="1:5" x14ac:dyDescent="0.25">
      <c r="A58" s="32"/>
      <c r="B58" s="33"/>
      <c r="C58" s="83"/>
      <c r="D58" s="33"/>
      <c r="E58" s="34"/>
    </row>
    <row r="59" spans="1:5" x14ac:dyDescent="0.25">
      <c r="A59" s="32" t="s">
        <v>25</v>
      </c>
      <c r="B59" s="33"/>
      <c r="C59" s="83"/>
      <c r="D59" s="33"/>
      <c r="E59" s="72">
        <f>R15*C57</f>
        <v>500.93868353536624</v>
      </c>
    </row>
    <row r="60" spans="1:5" x14ac:dyDescent="0.25">
      <c r="A60" s="32"/>
      <c r="B60" s="33"/>
      <c r="C60" s="83"/>
      <c r="D60" s="33"/>
      <c r="E60" s="34"/>
    </row>
    <row r="61" spans="1:5" x14ac:dyDescent="0.25">
      <c r="A61" s="32" t="s">
        <v>26</v>
      </c>
      <c r="B61" s="33"/>
      <c r="C61" s="84">
        <v>0.75</v>
      </c>
      <c r="D61" s="33"/>
      <c r="E61" s="34"/>
    </row>
    <row r="62" spans="1:5" x14ac:dyDescent="0.25">
      <c r="A62" s="32"/>
      <c r="B62" s="33"/>
      <c r="C62" s="33"/>
      <c r="D62" s="33"/>
      <c r="E62" s="34"/>
    </row>
    <row r="63" spans="1:5" x14ac:dyDescent="0.25">
      <c r="A63" s="32" t="s">
        <v>27</v>
      </c>
      <c r="B63" s="33"/>
      <c r="C63" s="33"/>
      <c r="D63" s="33"/>
      <c r="E63" s="72">
        <f>SUM(H15:R15)*C61</f>
        <v>140.27973317787405</v>
      </c>
    </row>
    <row r="64" spans="1:5" x14ac:dyDescent="0.25">
      <c r="A64" s="32"/>
      <c r="B64" s="33"/>
      <c r="C64" s="33"/>
      <c r="D64" s="33"/>
      <c r="E64" s="73"/>
    </row>
    <row r="65" spans="1:5" x14ac:dyDescent="0.25">
      <c r="A65" s="74" t="s">
        <v>28</v>
      </c>
      <c r="B65" s="33"/>
      <c r="C65" s="33"/>
      <c r="D65" s="33"/>
      <c r="E65" s="75">
        <f>(E63*0.25)*-1</f>
        <v>-35.069933294468512</v>
      </c>
    </row>
    <row r="66" spans="1:5" x14ac:dyDescent="0.25">
      <c r="A66" s="32"/>
      <c r="B66" s="33"/>
      <c r="C66" s="52"/>
      <c r="D66" s="52"/>
      <c r="E66" s="76"/>
    </row>
    <row r="67" spans="1:5" x14ac:dyDescent="0.25">
      <c r="A67" s="32" t="s">
        <v>29</v>
      </c>
      <c r="B67" s="33"/>
      <c r="C67" s="33"/>
      <c r="D67" s="33"/>
      <c r="E67" s="72">
        <f>SUM(E59:E65)</f>
        <v>606.14848341877178</v>
      </c>
    </row>
    <row r="68" spans="1:5" x14ac:dyDescent="0.25">
      <c r="A68" s="32"/>
      <c r="B68" s="33"/>
      <c r="C68" s="33"/>
      <c r="D68" s="33"/>
      <c r="E68" s="72"/>
    </row>
    <row r="69" spans="1:5" x14ac:dyDescent="0.25">
      <c r="A69" s="32" t="s">
        <v>30</v>
      </c>
      <c r="B69" s="33"/>
      <c r="C69" s="33"/>
      <c r="D69" s="33"/>
      <c r="E69" s="76">
        <f>E67/C49-1</f>
        <v>1.1167543487381049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7" t="s">
        <v>31</v>
      </c>
      <c r="B71" s="78"/>
      <c r="C71" s="78"/>
      <c r="D71" s="78"/>
      <c r="E71" s="81">
        <f>(E67/C49)^(1/10)-1</f>
        <v>7.7871641893825894E-2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abSelected="1" zoomScale="90" zoomScaleNormal="9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16</v>
      </c>
    </row>
    <row r="4" spans="1:28" x14ac:dyDescent="0.25">
      <c r="B4" s="29" t="s">
        <v>33</v>
      </c>
    </row>
    <row r="6" spans="1:28" x14ac:dyDescent="0.25">
      <c r="B6" s="1" t="s">
        <v>34</v>
      </c>
    </row>
    <row r="9" spans="1:28" s="8" customFormat="1" x14ac:dyDescent="0.25"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20</v>
      </c>
    </row>
    <row r="11" spans="1:28" x14ac:dyDescent="0.25">
      <c r="A11" s="5"/>
      <c r="B11" s="4" t="s">
        <v>5</v>
      </c>
      <c r="C11" s="12"/>
      <c r="D11" s="12"/>
      <c r="E11" s="12"/>
      <c r="F11" s="12">
        <v>43.12</v>
      </c>
      <c r="G11" s="12">
        <v>50.59</v>
      </c>
      <c r="H11" s="16">
        <v>52.7</v>
      </c>
      <c r="I11" s="16">
        <v>57.78</v>
      </c>
      <c r="J11" s="16">
        <v>61.73</v>
      </c>
      <c r="K11" s="16">
        <v>67.900000000000006</v>
      </c>
      <c r="L11" s="16">
        <f t="shared" ref="L11" si="0">K11*(1+L12)</f>
        <v>74.01100000000001</v>
      </c>
      <c r="M11" s="16">
        <f>L11*(1+M12)</f>
        <v>80.671990000000022</v>
      </c>
      <c r="N11" s="16">
        <f t="shared" ref="N11:R11" si="1">M11*(1+N12)</f>
        <v>87.12574920000003</v>
      </c>
      <c r="O11" s="16">
        <f t="shared" si="1"/>
        <v>94.095809136000042</v>
      </c>
      <c r="P11" s="16">
        <f t="shared" si="1"/>
        <v>100.68251577552005</v>
      </c>
      <c r="Q11" s="16">
        <f t="shared" si="1"/>
        <v>106.72346672205126</v>
      </c>
      <c r="R11" s="16">
        <f t="shared" si="1"/>
        <v>110.99240539093331</v>
      </c>
    </row>
    <row r="12" spans="1:28" x14ac:dyDescent="0.25">
      <c r="A12" s="5"/>
      <c r="B12" s="4" t="s">
        <v>1</v>
      </c>
      <c r="C12" s="13"/>
      <c r="D12" s="13"/>
      <c r="E12" s="13"/>
      <c r="F12" s="13"/>
      <c r="G12" s="13">
        <f>G11/F11-1</f>
        <v>0.17323747680890556</v>
      </c>
      <c r="H12" s="67">
        <f>H11/G11-1</f>
        <v>4.1707847400672016E-2</v>
      </c>
      <c r="I12" s="67">
        <f t="shared" ref="I12:K12" si="2">I11/H11-1</f>
        <v>9.639468690702091E-2</v>
      </c>
      <c r="J12" s="67">
        <f t="shared" si="2"/>
        <v>6.8362755278642995E-2</v>
      </c>
      <c r="K12" s="67">
        <f t="shared" si="2"/>
        <v>9.9951401263567385E-2</v>
      </c>
      <c r="L12" s="67">
        <v>0.09</v>
      </c>
      <c r="M12" s="17">
        <v>0.09</v>
      </c>
      <c r="N12" s="17">
        <v>0.08</v>
      </c>
      <c r="O12" s="17">
        <v>0.08</v>
      </c>
      <c r="P12" s="17">
        <v>7.0000000000000007E-2</v>
      </c>
      <c r="Q12" s="17">
        <v>0.06</v>
      </c>
      <c r="R12" s="17">
        <v>0.04</v>
      </c>
    </row>
    <row r="13" spans="1:28" ht="15.95" customHeight="1" x14ac:dyDescent="0.25">
      <c r="A13" s="5"/>
      <c r="B13" s="4" t="s">
        <v>23</v>
      </c>
      <c r="C13" s="13"/>
      <c r="D13" s="13"/>
      <c r="E13" s="13"/>
      <c r="F13" s="13">
        <f t="shared" ref="F13:K13" si="3">F14/F11</f>
        <v>0.33522727272727276</v>
      </c>
      <c r="G13" s="13">
        <f t="shared" si="3"/>
        <v>0.2609211306582328</v>
      </c>
      <c r="H13" s="67">
        <f t="shared" si="3"/>
        <v>0.2870967741935484</v>
      </c>
      <c r="I13" s="67">
        <f t="shared" si="3"/>
        <v>0.32433367947386638</v>
      </c>
      <c r="J13" s="67">
        <f t="shared" si="3"/>
        <v>0.34391705815648793</v>
      </c>
      <c r="K13" s="67">
        <f t="shared" si="3"/>
        <v>0.35346097201767301</v>
      </c>
      <c r="L13" s="67">
        <v>0.35</v>
      </c>
      <c r="M13" s="67">
        <v>0.35</v>
      </c>
      <c r="N13" s="67">
        <v>0.36</v>
      </c>
      <c r="O13" s="67">
        <v>0.37</v>
      </c>
      <c r="P13" s="67">
        <v>0.38</v>
      </c>
      <c r="Q13" s="67">
        <v>0.38</v>
      </c>
      <c r="R13" s="67">
        <v>0.38</v>
      </c>
    </row>
    <row r="14" spans="1:28" ht="17.100000000000001" customHeight="1" x14ac:dyDescent="0.25">
      <c r="A14" s="5"/>
      <c r="B14" s="4" t="s">
        <v>24</v>
      </c>
      <c r="C14" s="12"/>
      <c r="D14" s="12"/>
      <c r="E14" s="12"/>
      <c r="F14" s="12">
        <v>14.455</v>
      </c>
      <c r="G14" s="12">
        <v>13.2</v>
      </c>
      <c r="H14" s="16">
        <v>15.13</v>
      </c>
      <c r="I14" s="16">
        <v>18.739999999999998</v>
      </c>
      <c r="J14" s="16">
        <v>21.23</v>
      </c>
      <c r="K14" s="16">
        <v>24</v>
      </c>
      <c r="L14" s="16">
        <f t="shared" ref="L14:R14" si="4">L11*L13</f>
        <v>25.903850000000002</v>
      </c>
      <c r="M14" s="16">
        <f t="shared" si="4"/>
        <v>28.235196500000004</v>
      </c>
      <c r="N14" s="16">
        <f t="shared" si="4"/>
        <v>31.365269712000011</v>
      </c>
      <c r="O14" s="16">
        <f>O11*O13</f>
        <v>34.815449380320018</v>
      </c>
      <c r="P14" s="16">
        <f t="shared" si="4"/>
        <v>38.259355994697614</v>
      </c>
      <c r="Q14" s="16">
        <f t="shared" si="4"/>
        <v>40.554917354379477</v>
      </c>
      <c r="R14" s="16">
        <f t="shared" si="4"/>
        <v>42.177114048554657</v>
      </c>
    </row>
    <row r="15" spans="1:28" ht="16.5" thickBot="1" x14ac:dyDescent="0.3">
      <c r="A15" s="15">
        <v>0.3</v>
      </c>
      <c r="B15" s="4" t="s">
        <v>14</v>
      </c>
      <c r="C15" s="14"/>
      <c r="D15" s="12"/>
      <c r="E15" s="12"/>
      <c r="F15" s="12">
        <v>7.88</v>
      </c>
      <c r="G15" s="12">
        <v>5.25</v>
      </c>
      <c r="H15" s="16">
        <v>7.08</v>
      </c>
      <c r="I15" s="16">
        <v>9.77</v>
      </c>
      <c r="J15" s="16">
        <v>11.83</v>
      </c>
      <c r="K15" s="16">
        <v>19.3</v>
      </c>
      <c r="L15" s="16">
        <f t="shared" ref="L15" si="5">L14*(1-$A$15)</f>
        <v>18.132695000000002</v>
      </c>
      <c r="M15" s="16">
        <f t="shared" ref="M15:Q15" si="6">M14*(1-$A$15)</f>
        <v>19.764637550000003</v>
      </c>
      <c r="N15" s="16">
        <f t="shared" si="6"/>
        <v>21.955688798400008</v>
      </c>
      <c r="O15" s="16">
        <f t="shared" si="6"/>
        <v>24.370814566224013</v>
      </c>
      <c r="P15" s="16">
        <f t="shared" si="6"/>
        <v>26.781549196288328</v>
      </c>
      <c r="Q15" s="16">
        <f t="shared" si="6"/>
        <v>28.388442148065632</v>
      </c>
      <c r="R15" s="16">
        <f>R14*(1-$A$15)</f>
        <v>29.523979833988257</v>
      </c>
    </row>
    <row r="16" spans="1:28" ht="32.25" thickBot="1" x14ac:dyDescent="0.3">
      <c r="A16" s="18" t="s">
        <v>7</v>
      </c>
      <c r="B16" s="19"/>
      <c r="C16" s="20"/>
      <c r="D16" s="20"/>
      <c r="E16" s="20"/>
      <c r="F16" s="20">
        <f>F15/F14</f>
        <v>0.54514008993427876</v>
      </c>
      <c r="G16" s="21">
        <f>G15/G14</f>
        <v>0.39772727272727276</v>
      </c>
      <c r="H16" s="21">
        <f t="shared" ref="H16:K16" si="7">H15/H14</f>
        <v>0.46794448116325182</v>
      </c>
      <c r="I16" s="21">
        <f t="shared" si="7"/>
        <v>0.52134471718249731</v>
      </c>
      <c r="J16" s="21">
        <f t="shared" si="7"/>
        <v>0.55723033443240699</v>
      </c>
      <c r="K16" s="21">
        <f t="shared" si="7"/>
        <v>0.8041666666666667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18</v>
      </c>
      <c r="G19" s="62"/>
      <c r="H19" s="63">
        <f>H15/(1+$C$55)</f>
        <v>6.4657534246575343</v>
      </c>
      <c r="I19" s="63">
        <f>I15/(1+$C$55)^2</f>
        <v>8.1482871499760225</v>
      </c>
      <c r="J19" s="63">
        <f>J15/(1+$C$55)^3</f>
        <v>9.0103650616430269</v>
      </c>
      <c r="K19" s="63">
        <f>K15/(1+$C$55)^4</f>
        <v>13.424583864234217</v>
      </c>
      <c r="L19" s="63">
        <f>L15/(1+$C$55)^5</f>
        <v>11.518389510118082</v>
      </c>
      <c r="M19" s="63">
        <f>M15/(1+$C$55)^6</f>
        <v>11.465794124227132</v>
      </c>
      <c r="N19" s="63">
        <f>N15/(1+$C$55)^7</f>
        <v>11.631834978472304</v>
      </c>
      <c r="O19" s="63">
        <f>O15/(1+$C$55)^8</f>
        <v>11.791175183656856</v>
      </c>
      <c r="P19" s="63">
        <f>P15/(1+$C$55)^9</f>
        <v>11.833374872701166</v>
      </c>
      <c r="Q19" s="63">
        <f>Q15/(1+$C$55)^10</f>
        <v>11.455139146176471</v>
      </c>
      <c r="R19" s="64">
        <f>(R15/(C55-R12))/(1+C55)^10</f>
        <v>216.60626749133687</v>
      </c>
    </row>
    <row r="20" spans="1:18" x14ac:dyDescent="0.25">
      <c r="A20" s="2"/>
      <c r="C20" s="85">
        <v>0.3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9</v>
      </c>
      <c r="B25" s="44" t="s">
        <v>35</v>
      </c>
      <c r="C25" s="44"/>
      <c r="D25" s="46">
        <v>7.0000000000000007E-2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21</v>
      </c>
      <c r="C26" s="44"/>
      <c r="D26" s="46">
        <v>0.01</v>
      </c>
      <c r="E26" s="33" t="s">
        <v>36</v>
      </c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10</v>
      </c>
      <c r="C30" s="44"/>
      <c r="D30" s="48">
        <f>D25+D26+D27</f>
        <v>0.08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11</v>
      </c>
      <c r="B34" s="44"/>
      <c r="C34" s="50"/>
      <c r="D34" s="35">
        <v>1.4999999999999999E-2</v>
      </c>
      <c r="E34" s="33" t="s">
        <v>37</v>
      </c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12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15</v>
      </c>
      <c r="C46" s="37"/>
      <c r="D46" s="53">
        <f>D30+D34</f>
        <v>9.5000000000000001E-2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44470</v>
      </c>
      <c r="D48" s="25" t="s">
        <v>3</v>
      </c>
      <c r="E48" s="26"/>
      <c r="F48" s="27"/>
      <c r="G48" s="28"/>
      <c r="H48" s="28"/>
      <c r="I48" s="28"/>
    </row>
    <row r="49" spans="1:5" x14ac:dyDescent="0.25">
      <c r="A49" s="54" t="s">
        <v>0</v>
      </c>
      <c r="B49" s="55" t="s">
        <v>6</v>
      </c>
      <c r="C49" s="56">
        <f>C50*C51</f>
        <v>286.35749999999996</v>
      </c>
      <c r="D49" s="57">
        <f>SUM(H19:R19)</f>
        <v>323.35096480719972</v>
      </c>
      <c r="E49" s="55" t="s">
        <v>39</v>
      </c>
    </row>
    <row r="50" spans="1:5" x14ac:dyDescent="0.25">
      <c r="A50" s="54"/>
      <c r="B50" s="55" t="s">
        <v>17</v>
      </c>
      <c r="C50" s="56">
        <v>76.361999999999995</v>
      </c>
      <c r="D50" s="56">
        <f>C50</f>
        <v>76.361999999999995</v>
      </c>
      <c r="E50" s="55"/>
    </row>
    <row r="51" spans="1:5" x14ac:dyDescent="0.25">
      <c r="A51" s="54"/>
      <c r="B51" s="55" t="s">
        <v>19</v>
      </c>
      <c r="C51" s="68">
        <v>3.75</v>
      </c>
      <c r="D51" s="68">
        <f>D49/(D50)</f>
        <v>4.234448610659749</v>
      </c>
      <c r="E51" s="55" t="s">
        <v>39</v>
      </c>
    </row>
    <row r="52" spans="1:5" x14ac:dyDescent="0.25">
      <c r="A52" s="54"/>
      <c r="B52" s="55" t="s">
        <v>2</v>
      </c>
      <c r="C52" s="55"/>
      <c r="D52" s="69">
        <f>IF(C51/D51-1&gt;0,0,C51/D51-1)</f>
        <v>-0.11440653912771637</v>
      </c>
      <c r="E52" s="55"/>
    </row>
    <row r="53" spans="1:5" x14ac:dyDescent="0.25">
      <c r="A53" s="54"/>
      <c r="B53" s="55" t="s">
        <v>22</v>
      </c>
      <c r="C53" s="55"/>
      <c r="D53" s="70">
        <f>IF(C51/D51-1&lt;0,0,C51/D51-1)</f>
        <v>0</v>
      </c>
      <c r="E53" s="55"/>
    </row>
    <row r="54" spans="1:5" x14ac:dyDescent="0.25">
      <c r="A54" s="55"/>
      <c r="B54" s="55"/>
      <c r="C54" s="55"/>
      <c r="D54" s="58"/>
      <c r="E54" s="58"/>
    </row>
    <row r="55" spans="1:5" x14ac:dyDescent="0.25">
      <c r="A55" s="58" t="s">
        <v>4</v>
      </c>
      <c r="B55" s="55"/>
      <c r="C55" s="60">
        <f>D46</f>
        <v>9.5000000000000001E-2</v>
      </c>
      <c r="D55" s="59"/>
      <c r="E55" s="55"/>
    </row>
    <row r="56" spans="1:5" ht="16.5" thickBot="1" x14ac:dyDescent="0.3">
      <c r="A56" s="29"/>
      <c r="C56" s="79"/>
      <c r="D56" s="80"/>
    </row>
    <row r="57" spans="1:5" x14ac:dyDescent="0.25">
      <c r="A57" s="71" t="s">
        <v>32</v>
      </c>
      <c r="B57" s="30"/>
      <c r="C57" s="82">
        <v>22</v>
      </c>
      <c r="D57" s="30"/>
      <c r="E57" s="31"/>
    </row>
    <row r="58" spans="1:5" x14ac:dyDescent="0.25">
      <c r="A58" s="32"/>
      <c r="B58" s="33"/>
      <c r="C58" s="83"/>
      <c r="D58" s="33"/>
      <c r="E58" s="34"/>
    </row>
    <row r="59" spans="1:5" x14ac:dyDescent="0.25">
      <c r="A59" s="32" t="s">
        <v>25</v>
      </c>
      <c r="B59" s="33"/>
      <c r="C59" s="83"/>
      <c r="D59" s="33"/>
      <c r="E59" s="72">
        <f>R15*C57</f>
        <v>649.52755634774167</v>
      </c>
    </row>
    <row r="60" spans="1:5" x14ac:dyDescent="0.25">
      <c r="A60" s="32"/>
      <c r="B60" s="33"/>
      <c r="C60" s="83"/>
      <c r="D60" s="33"/>
      <c r="E60" s="34"/>
    </row>
    <row r="61" spans="1:5" x14ac:dyDescent="0.25">
      <c r="A61" s="32" t="s">
        <v>26</v>
      </c>
      <c r="B61" s="33"/>
      <c r="C61" s="84">
        <v>0.75</v>
      </c>
      <c r="D61" s="33"/>
      <c r="E61" s="34"/>
    </row>
    <row r="62" spans="1:5" x14ac:dyDescent="0.25">
      <c r="A62" s="32"/>
      <c r="B62" s="33"/>
      <c r="C62" s="33"/>
      <c r="D62" s="33"/>
      <c r="E62" s="34"/>
    </row>
    <row r="63" spans="1:5" x14ac:dyDescent="0.25">
      <c r="A63" s="32" t="s">
        <v>27</v>
      </c>
      <c r="B63" s="33"/>
      <c r="C63" s="33"/>
      <c r="D63" s="33"/>
      <c r="E63" s="72">
        <f>SUM(H15:R15)*C61</f>
        <v>162.67335531972466</v>
      </c>
    </row>
    <row r="64" spans="1:5" x14ac:dyDescent="0.25">
      <c r="A64" s="32"/>
      <c r="B64" s="33"/>
      <c r="C64" s="33"/>
      <c r="D64" s="33"/>
      <c r="E64" s="73"/>
    </row>
    <row r="65" spans="1:5" x14ac:dyDescent="0.25">
      <c r="A65" s="74" t="s">
        <v>28</v>
      </c>
      <c r="B65" s="33"/>
      <c r="C65" s="33"/>
      <c r="D65" s="33"/>
      <c r="E65" s="75">
        <f>(E63*0.25)*-1</f>
        <v>-40.668338829931166</v>
      </c>
    </row>
    <row r="66" spans="1:5" x14ac:dyDescent="0.25">
      <c r="A66" s="32"/>
      <c r="B66" s="33"/>
      <c r="C66" s="52"/>
      <c r="D66" s="52"/>
      <c r="E66" s="76"/>
    </row>
    <row r="67" spans="1:5" x14ac:dyDescent="0.25">
      <c r="A67" s="32" t="s">
        <v>29</v>
      </c>
      <c r="B67" s="33"/>
      <c r="C67" s="33"/>
      <c r="D67" s="33"/>
      <c r="E67" s="72">
        <f>SUM(E59:E65)</f>
        <v>771.53257283753521</v>
      </c>
    </row>
    <row r="68" spans="1:5" x14ac:dyDescent="0.25">
      <c r="A68" s="32"/>
      <c r="B68" s="33"/>
      <c r="C68" s="33"/>
      <c r="D68" s="33"/>
      <c r="E68" s="72"/>
    </row>
    <row r="69" spans="1:5" x14ac:dyDescent="0.25">
      <c r="A69" s="32" t="s">
        <v>30</v>
      </c>
      <c r="B69" s="33"/>
      <c r="C69" s="33"/>
      <c r="D69" s="33"/>
      <c r="E69" s="76">
        <f>E67/C49-1</f>
        <v>1.6942984655108924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7" t="s">
        <v>31</v>
      </c>
      <c r="B71" s="78"/>
      <c r="C71" s="78"/>
      <c r="D71" s="78"/>
      <c r="E71" s="81">
        <f>(E67/C49)^(1/10)-1</f>
        <v>0.10419193408619409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2021-10-02T16:07:51Z</dcterms:modified>
</cp:coreProperties>
</file>