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Lockheed Martin\"/>
    </mc:Choice>
  </mc:AlternateContent>
  <bookViews>
    <workbookView xWindow="0" yWindow="0" windowWidth="24000" windowHeight="9630" activeTab="1"/>
  </bookViews>
  <sheets>
    <sheet name="Pessimistisch" sheetId="16" r:id="rId1"/>
    <sheet name="Optimistisch" sheetId="10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0" l="1"/>
  <c r="I14" i="16"/>
  <c r="J14" i="16"/>
  <c r="K14" i="16"/>
  <c r="I11" i="16"/>
  <c r="J11" i="16"/>
  <c r="K11" i="16"/>
  <c r="L11" i="16"/>
  <c r="M11" i="16"/>
  <c r="N11" i="16"/>
  <c r="O11" i="16"/>
  <c r="P11" i="16"/>
  <c r="Q11" i="16"/>
  <c r="R11" i="16"/>
  <c r="R14" i="16"/>
  <c r="R15" i="16"/>
  <c r="E59" i="16"/>
  <c r="K15" i="16"/>
  <c r="L14" i="16"/>
  <c r="L15" i="16"/>
  <c r="M14" i="16"/>
  <c r="M15" i="16"/>
  <c r="N14" i="16"/>
  <c r="N15" i="16"/>
  <c r="O14" i="16"/>
  <c r="O15" i="16"/>
  <c r="P14" i="16"/>
  <c r="P15" i="16"/>
  <c r="Q14" i="16"/>
  <c r="Q15" i="16"/>
  <c r="E63" i="16"/>
  <c r="E65" i="16"/>
  <c r="E67" i="16"/>
  <c r="C49" i="16"/>
  <c r="E71" i="16"/>
  <c r="E69" i="16"/>
  <c r="D30" i="16"/>
  <c r="D46" i="16"/>
  <c r="C55" i="16"/>
  <c r="H19" i="16"/>
  <c r="I19" i="16"/>
  <c r="J19" i="16"/>
  <c r="K19" i="16"/>
  <c r="L19" i="16"/>
  <c r="M19" i="16"/>
  <c r="N19" i="16"/>
  <c r="O19" i="16"/>
  <c r="P19" i="16"/>
  <c r="Q19" i="16"/>
  <c r="R19" i="16"/>
  <c r="D49" i="16"/>
  <c r="D50" i="16"/>
  <c r="D51" i="16"/>
  <c r="D53" i="16"/>
  <c r="D52" i="16"/>
  <c r="D44" i="16"/>
  <c r="D43" i="16"/>
  <c r="D42" i="16"/>
  <c r="D41" i="16"/>
  <c r="D40" i="16"/>
  <c r="K16" i="16"/>
  <c r="J16" i="16"/>
  <c r="I16" i="16"/>
  <c r="G16" i="16"/>
  <c r="F16" i="16"/>
  <c r="E16" i="16"/>
  <c r="D16" i="16"/>
  <c r="C16" i="16"/>
  <c r="G13" i="16"/>
  <c r="F13" i="16"/>
  <c r="E13" i="16"/>
  <c r="D13" i="16"/>
  <c r="C13" i="16"/>
  <c r="H12" i="16"/>
  <c r="G12" i="16"/>
  <c r="F12" i="16"/>
  <c r="E12" i="16"/>
  <c r="D12" i="16"/>
  <c r="C16" i="10"/>
  <c r="D16" i="10"/>
  <c r="C49" i="10"/>
  <c r="K11" i="10"/>
  <c r="L11" i="10"/>
  <c r="M11" i="10"/>
  <c r="N11" i="10"/>
  <c r="O11" i="10"/>
  <c r="P11" i="10"/>
  <c r="Q11" i="10"/>
  <c r="R11" i="10"/>
  <c r="R14" i="10"/>
  <c r="R15" i="10"/>
  <c r="E59" i="10"/>
  <c r="L14" i="10"/>
  <c r="L15" i="10"/>
  <c r="M14" i="10"/>
  <c r="M15" i="10"/>
  <c r="N14" i="10"/>
  <c r="N15" i="10"/>
  <c r="O14" i="10"/>
  <c r="O15" i="10"/>
  <c r="P14" i="10"/>
  <c r="P15" i="10"/>
  <c r="Q14" i="10"/>
  <c r="Q15" i="10"/>
  <c r="K15" i="10"/>
  <c r="E63" i="10"/>
  <c r="E65" i="10"/>
  <c r="E67" i="10"/>
  <c r="D50" i="10"/>
  <c r="D30" i="10"/>
  <c r="D46" i="10"/>
  <c r="C55" i="10"/>
  <c r="L19" i="10"/>
  <c r="M19" i="10"/>
  <c r="N19" i="10"/>
  <c r="O19" i="10"/>
  <c r="P19" i="10"/>
  <c r="Q19" i="10"/>
  <c r="R19" i="10"/>
  <c r="H19" i="10"/>
  <c r="I19" i="10"/>
  <c r="J19" i="10"/>
  <c r="K19" i="10"/>
  <c r="D49" i="10"/>
  <c r="E16" i="10"/>
  <c r="D12" i="10"/>
  <c r="E12" i="10"/>
  <c r="F12" i="10"/>
  <c r="C13" i="10"/>
  <c r="D13" i="10"/>
  <c r="E13" i="10"/>
  <c r="E71" i="10"/>
  <c r="E69" i="10"/>
  <c r="H12" i="10"/>
  <c r="H13" i="10"/>
  <c r="I13" i="10"/>
  <c r="J13" i="10"/>
  <c r="H16" i="10"/>
  <c r="I16" i="10"/>
  <c r="J16" i="10"/>
  <c r="K16" i="10"/>
  <c r="G16" i="10"/>
  <c r="F16" i="10"/>
  <c r="G13" i="10"/>
  <c r="F13" i="10"/>
  <c r="J12" i="10"/>
  <c r="I12" i="10"/>
  <c r="G12" i="10"/>
  <c r="D44" i="10"/>
  <c r="D43" i="10"/>
  <c r="D42" i="10"/>
  <c r="D41" i="10"/>
  <c r="D40" i="10"/>
  <c r="D51" i="10"/>
  <c r="D52" i="10"/>
  <c r="D53" i="10"/>
  <c r="H16" i="16"/>
  <c r="H13" i="16"/>
</calcChain>
</file>

<file path=xl/sharedStrings.xml><?xml version="1.0" encoding="utf-8"?>
<sst xmlns="http://schemas.openxmlformats.org/spreadsheetml/2006/main" count="82" uniqueCount="41">
  <si>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</si>
  <si>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</si>
  <si>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</si>
  <si>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</si>
  <si>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</si>
  <si>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</si>
  <si>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</si>
  <si>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</si>
  <si>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</si>
  <si>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</si>
  <si>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</si>
  <si>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</si>
  <si>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Vereinfachter WACC:</t>
  </si>
  <si>
    <t>Schätzungen »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</si>
  <si>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</si>
  <si>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</si>
  <si>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</si>
  <si>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</si>
  <si>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</si>
  <si>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2031ff.</t>
  </si>
  <si>
    <t>Sicherheitszuschlag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</si>
  <si>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</si>
  <si>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</si>
  <si>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</si>
  <si>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</si>
  <si>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</si>
  <si>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</si>
  <si>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</si>
  <si>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</si>
  <si>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</si>
  <si>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</si>
  <si>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</si>
  <si>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Optimistische Annahmen für Lockheed</t>
  </si>
  <si>
    <t>Alle Angaben in Mrd. USD</t>
  </si>
  <si>
    <t>USD</t>
  </si>
  <si>
    <t>Gewinn (25% Zinsen/Steuern/sonstiges)</t>
  </si>
  <si>
    <t>Rüstung/Weltraum</t>
  </si>
  <si>
    <t xml:space="preserve">sehr hohe FK Quote --&gt; kommt aber auch stark durch die hohen Aktienrückkäufe </t>
  </si>
  <si>
    <t>hohe Klumpenabhänigkeit von US-Regierung</t>
  </si>
  <si>
    <t>Pessimistische Annahmen für Lockheed</t>
  </si>
  <si>
    <t>5 % Aktienrückgang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</si>
</sst>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0" applyNumberFormat="1" applyFill="1"/>
    <xf numFmtId="4" fontId="0" fillId="5" borderId="0" xfId="0" applyNumberFormat="1" applyFont="1" applyFill="1"/>
    <xf numFmtId="4" fontId="0" fillId="8" borderId="0" xfId="0" applyNumberFormat="1" applyFont="1" applyFill="1"/>
    <xf numFmtId="165" fontId="0" fillId="7" borderId="0" xfId="1" applyNumberFormat="1" applyFont="1" applyFill="1"/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CC99FF"/>
      <color rgb="FFCCCCFF"/>
      <color rgb="FF9966FF"/>
      <color rgb="FF9900CC"/>
      <color rgb="FFFFEB7D"/>
      <color rgb="FFFFD802"/>
      <color rgb="FFFFFAE0"/>
      <color rgb="FFCBD5E0"/>
      <color rgb="FFFFE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opLeftCell="A28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15</v>
      </c>
    </row>
    <row r="4" spans="1:28" x14ac:dyDescent="0.25">
      <c r="B4" s="29" t="s">
        <v>39</v>
      </c>
    </row>
    <row r="6" spans="1:28" x14ac:dyDescent="0.25">
      <c r="B6" s="1" t="s">
        <v>33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19</v>
      </c>
    </row>
    <row r="11" spans="1:28" x14ac:dyDescent="0.25">
      <c r="A11" s="5"/>
      <c r="B11" s="4" t="s">
        <v>5</v>
      </c>
      <c r="C11" s="86">
        <v>47.29</v>
      </c>
      <c r="D11" s="86">
        <v>49.96</v>
      </c>
      <c r="E11" s="86">
        <v>53.762</v>
      </c>
      <c r="F11" s="86">
        <v>59.811999999999998</v>
      </c>
      <c r="G11" s="86">
        <v>65.397999999999996</v>
      </c>
      <c r="H11" s="16">
        <v>68.290000000000006</v>
      </c>
      <c r="I11" s="16">
        <f t="shared" ref="I11" si="0">H11*(1+I12)</f>
        <v>69.997249999999994</v>
      </c>
      <c r="J11" s="16">
        <f t="shared" ref="J11" si="1">I11*(1+J12)</f>
        <v>71.747181249999983</v>
      </c>
      <c r="K11" s="16">
        <f t="shared" ref="K11:L11" si="2">J11*(1+K12)</f>
        <v>74.617068499999988</v>
      </c>
      <c r="L11" s="16">
        <f t="shared" si="2"/>
        <v>77.601751239999984</v>
      </c>
      <c r="M11" s="16">
        <f>L11*(1+M12)</f>
        <v>73.721663677999985</v>
      </c>
      <c r="N11" s="16">
        <f t="shared" ref="N11:R11" si="3">M11*(1+N12)</f>
        <v>79.619396772239995</v>
      </c>
      <c r="O11" s="16">
        <f t="shared" si="3"/>
        <v>75.638426933627997</v>
      </c>
      <c r="P11" s="16">
        <f t="shared" si="3"/>
        <v>79.420348280309398</v>
      </c>
      <c r="Q11" s="16">
        <f t="shared" si="3"/>
        <v>83.391365694324875</v>
      </c>
      <c r="R11" s="16">
        <f t="shared" si="3"/>
        <v>85.476149836682993</v>
      </c>
    </row>
    <row r="12" spans="1:28" x14ac:dyDescent="0.25">
      <c r="A12" s="5"/>
      <c r="B12" s="4" t="s">
        <v>1</v>
      </c>
      <c r="C12" s="13"/>
      <c r="D12" s="13">
        <f t="shared" ref="D12:F12" si="4">D11/C11-1</f>
        <v>5.6460139564389999E-2</v>
      </c>
      <c r="E12" s="13">
        <f t="shared" si="4"/>
        <v>7.6100880704563556E-2</v>
      </c>
      <c r="F12" s="13">
        <f t="shared" si="4"/>
        <v>0.11253301588482567</v>
      </c>
      <c r="G12" s="13">
        <f>G11/F11-1</f>
        <v>9.3392630241423191E-2</v>
      </c>
      <c r="H12" s="88">
        <f>H11/G11-1</f>
        <v>4.4221535826783898E-2</v>
      </c>
      <c r="I12" s="88">
        <v>2.5000000000000001E-2</v>
      </c>
      <c r="J12" s="88">
        <v>2.5000000000000001E-2</v>
      </c>
      <c r="K12" s="88">
        <v>0.04</v>
      </c>
      <c r="L12" s="88">
        <v>0.04</v>
      </c>
      <c r="M12" s="17">
        <v>-0.05</v>
      </c>
      <c r="N12" s="17">
        <v>0.08</v>
      </c>
      <c r="O12" s="17">
        <v>-0.05</v>
      </c>
      <c r="P12" s="17">
        <v>0.05</v>
      </c>
      <c r="Q12" s="17">
        <v>0.05</v>
      </c>
      <c r="R12" s="17">
        <v>2.5000000000000001E-2</v>
      </c>
    </row>
    <row r="13" spans="1:28" ht="15.95" customHeight="1" x14ac:dyDescent="0.25">
      <c r="A13" s="5"/>
      <c r="B13" s="4" t="s">
        <v>22</v>
      </c>
      <c r="C13" s="13">
        <f t="shared" ref="C13:H13" si="5">C14/C11</f>
        <v>0.12450835271727638</v>
      </c>
      <c r="D13" s="13">
        <f t="shared" si="5"/>
        <v>0.13498799039231385</v>
      </c>
      <c r="E13" s="13">
        <f t="shared" si="5"/>
        <v>0.13641605595029946</v>
      </c>
      <c r="F13" s="13">
        <f t="shared" si="5"/>
        <v>0.14286430816558551</v>
      </c>
      <c r="G13" s="13">
        <f t="shared" si="5"/>
        <v>0.13217529588060797</v>
      </c>
      <c r="H13" s="67">
        <f t="shared" si="5"/>
        <v>0.13369453799970712</v>
      </c>
      <c r="I13" s="67">
        <v>0.13</v>
      </c>
      <c r="J13" s="67">
        <v>0.13</v>
      </c>
      <c r="K13" s="67">
        <v>0.13</v>
      </c>
      <c r="L13" s="67">
        <v>0.15</v>
      </c>
      <c r="M13" s="67">
        <v>0.13</v>
      </c>
      <c r="N13" s="67">
        <v>0.16</v>
      </c>
      <c r="O13" s="67">
        <v>0.13</v>
      </c>
      <c r="P13" s="67">
        <v>0.16</v>
      </c>
      <c r="Q13" s="67">
        <v>0.16</v>
      </c>
      <c r="R13" s="67">
        <v>0.16</v>
      </c>
    </row>
    <row r="14" spans="1:28" ht="17.100000000000001" customHeight="1" x14ac:dyDescent="0.25">
      <c r="A14" s="5"/>
      <c r="B14" s="4" t="s">
        <v>23</v>
      </c>
      <c r="C14" s="12">
        <v>5.8879999999999999</v>
      </c>
      <c r="D14" s="12">
        <v>6.7439999999999998</v>
      </c>
      <c r="E14" s="12">
        <v>7.3339999999999996</v>
      </c>
      <c r="F14" s="12">
        <v>8.5449999999999999</v>
      </c>
      <c r="G14" s="12">
        <v>8.6440000000000001</v>
      </c>
      <c r="H14" s="16">
        <v>9.1300000000000008</v>
      </c>
      <c r="I14" s="16">
        <f t="shared" ref="I14:K14" si="6">I11*I13</f>
        <v>9.0996424999999999</v>
      </c>
      <c r="J14" s="16">
        <f t="shared" si="6"/>
        <v>9.3271335624999985</v>
      </c>
      <c r="K14" s="16">
        <f t="shared" si="6"/>
        <v>9.7002189049999981</v>
      </c>
      <c r="L14" s="16">
        <f t="shared" ref="L14:R14" si="7">L11*L13</f>
        <v>11.640262685999998</v>
      </c>
      <c r="M14" s="16">
        <f t="shared" si="7"/>
        <v>9.5838162781399987</v>
      </c>
      <c r="N14" s="16">
        <f t="shared" si="7"/>
        <v>12.739103483558399</v>
      </c>
      <c r="O14" s="16">
        <f>O11*O13</f>
        <v>9.8329955013716397</v>
      </c>
      <c r="P14" s="16">
        <f t="shared" si="7"/>
        <v>12.707255724849503</v>
      </c>
      <c r="Q14" s="16">
        <f t="shared" si="7"/>
        <v>13.342618511091981</v>
      </c>
      <c r="R14" s="16">
        <f t="shared" si="7"/>
        <v>13.676183973869279</v>
      </c>
    </row>
    <row r="15" spans="1:28" ht="16.5" thickBot="1" x14ac:dyDescent="0.3">
      <c r="A15" s="15">
        <v>0.25</v>
      </c>
      <c r="B15" s="4" t="s">
        <v>35</v>
      </c>
      <c r="C15" s="14">
        <v>5.173</v>
      </c>
      <c r="D15" s="12">
        <v>1.9630000000000001</v>
      </c>
      <c r="E15" s="12">
        <v>5.0460000000000003</v>
      </c>
      <c r="F15" s="12">
        <v>6.23</v>
      </c>
      <c r="G15" s="12">
        <v>6.8330000000000002</v>
      </c>
      <c r="H15" s="16">
        <v>7.47</v>
      </c>
      <c r="I15" s="16">
        <v>7.69</v>
      </c>
      <c r="J15" s="16">
        <v>7.88</v>
      </c>
      <c r="K15" s="16">
        <f t="shared" ref="K15:Q15" si="8">K14*(1-$A$15)</f>
        <v>7.2751641787499981</v>
      </c>
      <c r="L15" s="16">
        <f t="shared" si="8"/>
        <v>8.7301970144999981</v>
      </c>
      <c r="M15" s="16">
        <f t="shared" si="8"/>
        <v>7.187862208604999</v>
      </c>
      <c r="N15" s="16">
        <f t="shared" si="8"/>
        <v>9.5543276126687999</v>
      </c>
      <c r="O15" s="16">
        <f t="shared" si="8"/>
        <v>7.3747466260287293</v>
      </c>
      <c r="P15" s="16">
        <f t="shared" si="8"/>
        <v>9.5304417936371273</v>
      </c>
      <c r="Q15" s="16">
        <f t="shared" si="8"/>
        <v>10.006963883318985</v>
      </c>
      <c r="R15" s="16">
        <f>R14*(1-$A$15)</f>
        <v>10.257137980401959</v>
      </c>
    </row>
    <row r="16" spans="1:28" ht="32.25" thickBot="1" x14ac:dyDescent="0.3">
      <c r="A16" s="18" t="s">
        <v>7</v>
      </c>
      <c r="B16" s="19"/>
      <c r="C16" s="20">
        <f t="shared" ref="C16:D16" si="9">C15/C14</f>
        <v>0.87856657608695654</v>
      </c>
      <c r="D16" s="20">
        <f t="shared" si="9"/>
        <v>0.29107354685646503</v>
      </c>
      <c r="E16" s="20">
        <f>E15/E14</f>
        <v>0.68802836105808574</v>
      </c>
      <c r="F16" s="20">
        <f>F15/F14</f>
        <v>0.72908133411351672</v>
      </c>
      <c r="G16" s="21">
        <f>G15/G14</f>
        <v>0.79049051365108747</v>
      </c>
      <c r="H16" s="21">
        <f t="shared" ref="H16:K16" si="10">H15/H14</f>
        <v>0.81818181818181812</v>
      </c>
      <c r="I16" s="21">
        <f t="shared" si="10"/>
        <v>0.84508814494635376</v>
      </c>
      <c r="J16" s="21">
        <f t="shared" si="10"/>
        <v>0.8448469132769536</v>
      </c>
      <c r="K16" s="21">
        <f t="shared" si="10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17</v>
      </c>
      <c r="G19" s="62"/>
      <c r="H19" s="63">
        <f>H15/(1+$C$55)</f>
        <v>6.7909090909090901</v>
      </c>
      <c r="I19" s="63">
        <f>I15/(1+$C$55)^2</f>
        <v>6.3553719008264453</v>
      </c>
      <c r="J19" s="63">
        <f>J15/(1+$C$55)^3</f>
        <v>5.9203606311044306</v>
      </c>
      <c r="K19" s="63">
        <f>K15/(1+$C$55)^4</f>
        <v>4.9690350240762218</v>
      </c>
      <c r="L19" s="63">
        <f>L15/(1+$C$55)^5</f>
        <v>5.4207654808104238</v>
      </c>
      <c r="M19" s="63">
        <f>M15/(1+$C$55)^6</f>
        <v>4.0573608295762869</v>
      </c>
      <c r="N19" s="63">
        <f>N15/(1+$C$55)^7</f>
        <v>4.9028807786767992</v>
      </c>
      <c r="O19" s="63">
        <f>O15/(1+$C$55)^8</f>
        <v>3.4403737282192313</v>
      </c>
      <c r="P19" s="63">
        <f>P15/(1+$C$55)^9</f>
        <v>4.0418376667190969</v>
      </c>
      <c r="Q19" s="63">
        <f>Q15/(1+$C$55)^10</f>
        <v>3.8581177727773195</v>
      </c>
      <c r="R19" s="64">
        <f>(R15/(C55-R12))/(1+C55)^10</f>
        <v>52.727609561290045</v>
      </c>
    </row>
    <row r="20" spans="1:18" x14ac:dyDescent="0.25">
      <c r="A20" s="2"/>
      <c r="C20" s="85">
        <v>0.25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36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20</v>
      </c>
      <c r="C26" s="44"/>
      <c r="D26" s="46">
        <v>0.01</v>
      </c>
      <c r="E26" s="33" t="s">
        <v>38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8.4999999999999992E-2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14</v>
      </c>
      <c r="C46" s="37"/>
      <c r="D46" s="53">
        <f>D30+D34</f>
        <v>9.9999999999999992E-2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44477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6</v>
      </c>
      <c r="C49" s="56">
        <f>C50*C51</f>
        <v>97959.035000000003</v>
      </c>
      <c r="D49" s="57">
        <f>SUM(H19:R19)*1000</f>
        <v>102484.6224649854</v>
      </c>
      <c r="E49" s="55" t="s">
        <v>34</v>
      </c>
    </row>
    <row r="50" spans="1:6" x14ac:dyDescent="0.25">
      <c r="A50" s="54"/>
      <c r="B50" s="55" t="s">
        <v>16</v>
      </c>
      <c r="C50" s="87">
        <v>276.916</v>
      </c>
      <c r="D50" s="56">
        <f>C50*0.95</f>
        <v>263.0702</v>
      </c>
      <c r="E50" s="55"/>
      <c r="F50" s="1" t="s">
        <v>40</v>
      </c>
    </row>
    <row r="51" spans="1:6" x14ac:dyDescent="0.25">
      <c r="A51" s="54"/>
      <c r="B51" s="55" t="s">
        <v>18</v>
      </c>
      <c r="C51" s="68">
        <v>353.75</v>
      </c>
      <c r="D51" s="68">
        <f>D49/(D50)</f>
        <v>389.57138613566036</v>
      </c>
      <c r="E51" s="55" t="s">
        <v>34</v>
      </c>
    </row>
    <row r="52" spans="1:6" x14ac:dyDescent="0.25">
      <c r="A52" s="54"/>
      <c r="B52" s="55" t="s">
        <v>2</v>
      </c>
      <c r="C52" s="55"/>
      <c r="D52" s="69">
        <f>IF(C51/D51-1&gt;0,0,C51/D51-1)</f>
        <v>-9.1950762839615452E-2</v>
      </c>
      <c r="E52" s="55"/>
    </row>
    <row r="53" spans="1:6" x14ac:dyDescent="0.25">
      <c r="A53" s="54"/>
      <c r="B53" s="55" t="s">
        <v>21</v>
      </c>
      <c r="C53" s="55"/>
      <c r="D53" s="70">
        <f>IF(C51/D51-1&lt;0,0,C51/D51-1)</f>
        <v>0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4</v>
      </c>
      <c r="B55" s="55"/>
      <c r="C55" s="60">
        <f>D46</f>
        <v>9.9999999999999992E-2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31</v>
      </c>
      <c r="B57" s="30"/>
      <c r="C57" s="82">
        <v>18</v>
      </c>
      <c r="D57" s="30"/>
      <c r="E57" s="31"/>
    </row>
    <row r="58" spans="1:6" x14ac:dyDescent="0.25">
      <c r="A58" s="32"/>
      <c r="B58" s="33"/>
      <c r="C58" s="83"/>
      <c r="D58" s="33"/>
      <c r="E58" s="34"/>
    </row>
    <row r="59" spans="1:6" x14ac:dyDescent="0.25">
      <c r="A59" s="32" t="s">
        <v>24</v>
      </c>
      <c r="B59" s="33"/>
      <c r="C59" s="83"/>
      <c r="D59" s="33"/>
      <c r="E59" s="72">
        <f>R15*C57*1000</f>
        <v>184628.48364723526</v>
      </c>
    </row>
    <row r="60" spans="1:6" x14ac:dyDescent="0.25">
      <c r="A60" s="32"/>
      <c r="B60" s="33"/>
      <c r="C60" s="83"/>
      <c r="D60" s="33"/>
      <c r="E60" s="34"/>
    </row>
    <row r="61" spans="1:6" x14ac:dyDescent="0.25">
      <c r="A61" s="32" t="s">
        <v>25</v>
      </c>
      <c r="B61" s="33"/>
      <c r="C61" s="84">
        <v>0.5</v>
      </c>
      <c r="D61" s="33"/>
      <c r="E61" s="34"/>
    </row>
    <row r="62" spans="1:6" x14ac:dyDescent="0.25">
      <c r="A62" s="32"/>
      <c r="B62" s="33"/>
      <c r="C62" s="33"/>
      <c r="D62" s="33"/>
      <c r="E62" s="34"/>
    </row>
    <row r="63" spans="1:6" x14ac:dyDescent="0.25">
      <c r="A63" s="32" t="s">
        <v>26</v>
      </c>
      <c r="B63" s="33"/>
      <c r="C63" s="33"/>
      <c r="D63" s="33"/>
      <c r="E63" s="72">
        <f>SUM(H15:R15)*C61*1000</f>
        <v>46478.420648955303</v>
      </c>
    </row>
    <row r="64" spans="1:6" x14ac:dyDescent="0.25">
      <c r="A64" s="32"/>
      <c r="B64" s="33"/>
      <c r="C64" s="33"/>
      <c r="D64" s="33"/>
      <c r="E64" s="73"/>
    </row>
    <row r="65" spans="1:5" x14ac:dyDescent="0.25">
      <c r="A65" s="74" t="s">
        <v>27</v>
      </c>
      <c r="B65" s="33"/>
      <c r="C65" s="33"/>
      <c r="D65" s="33"/>
      <c r="E65" s="75">
        <f>(E63*0.25)*-1</f>
        <v>-11619.605162238826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28</v>
      </c>
      <c r="B67" s="33"/>
      <c r="C67" s="33"/>
      <c r="D67" s="33"/>
      <c r="E67" s="72">
        <f>SUM(E59:E65)</f>
        <v>219487.29913395175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29</v>
      </c>
      <c r="B69" s="33"/>
      <c r="C69" s="33"/>
      <c r="D69" s="33"/>
      <c r="E69" s="76">
        <f>E67/C49-1</f>
        <v>1.2406029125741362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30</v>
      </c>
      <c r="B71" s="78"/>
      <c r="C71" s="78"/>
      <c r="D71" s="78"/>
      <c r="E71" s="81">
        <f>(E67/C49)^(1/10)-1</f>
        <v>8.4017989874550336E-2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abSelected="1" topLeftCell="A45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15</v>
      </c>
    </row>
    <row r="4" spans="1:28" x14ac:dyDescent="0.25">
      <c r="B4" s="29" t="s">
        <v>32</v>
      </c>
    </row>
    <row r="6" spans="1:28" x14ac:dyDescent="0.25">
      <c r="B6" s="1" t="s">
        <v>33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19</v>
      </c>
    </row>
    <row r="11" spans="1:28" x14ac:dyDescent="0.25">
      <c r="A11" s="5"/>
      <c r="B11" s="4" t="s">
        <v>5</v>
      </c>
      <c r="C11" s="86">
        <v>47.29</v>
      </c>
      <c r="D11" s="86">
        <v>49.96</v>
      </c>
      <c r="E11" s="86">
        <v>53.762</v>
      </c>
      <c r="F11" s="86">
        <v>59.811999999999998</v>
      </c>
      <c r="G11" s="86">
        <v>65.397999999999996</v>
      </c>
      <c r="H11" s="16">
        <v>68.290000000000006</v>
      </c>
      <c r="I11" s="16">
        <v>70.55</v>
      </c>
      <c r="J11" s="16">
        <v>72.52</v>
      </c>
      <c r="K11" s="16">
        <f t="shared" ref="K11:L11" si="0">J11*(1+K12)</f>
        <v>76.146000000000001</v>
      </c>
      <c r="L11" s="16">
        <f t="shared" si="0"/>
        <v>79.953299999999999</v>
      </c>
      <c r="M11" s="16">
        <f>L11*(1+M12)</f>
        <v>83.950964999999997</v>
      </c>
      <c r="N11" s="16">
        <f t="shared" ref="N11:R11" si="1">M11*(1+N12)</f>
        <v>87.309003599999997</v>
      </c>
      <c r="O11" s="16">
        <f t="shared" si="1"/>
        <v>90.801363744</v>
      </c>
      <c r="P11" s="16">
        <f t="shared" si="1"/>
        <v>93.525404656320006</v>
      </c>
      <c r="Q11" s="16">
        <f t="shared" si="1"/>
        <v>96.331166796009612</v>
      </c>
      <c r="R11" s="16">
        <f t="shared" si="1"/>
        <v>98.739445965909837</v>
      </c>
    </row>
    <row r="12" spans="1:28" x14ac:dyDescent="0.25">
      <c r="A12" s="5"/>
      <c r="B12" s="4" t="s">
        <v>1</v>
      </c>
      <c r="C12" s="13"/>
      <c r="D12" s="13">
        <f t="shared" ref="D12:F12" si="2">D11/C11-1</f>
        <v>5.6460139564389999E-2</v>
      </c>
      <c r="E12" s="13">
        <f t="shared" si="2"/>
        <v>7.6100880704563556E-2</v>
      </c>
      <c r="F12" s="13">
        <f t="shared" si="2"/>
        <v>0.11253301588482567</v>
      </c>
      <c r="G12" s="13">
        <f>G11/F11-1</f>
        <v>9.3392630241423191E-2</v>
      </c>
      <c r="H12" s="88">
        <f>H11/G11-1</f>
        <v>4.4221535826783898E-2</v>
      </c>
      <c r="I12" s="88">
        <f t="shared" ref="I12:J12" si="3">I11/H11-1</f>
        <v>3.3094157270464164E-2</v>
      </c>
      <c r="J12" s="88">
        <f t="shared" si="3"/>
        <v>2.7923458540042523E-2</v>
      </c>
      <c r="K12" s="88">
        <v>0.05</v>
      </c>
      <c r="L12" s="88">
        <v>0.05</v>
      </c>
      <c r="M12" s="17">
        <v>0.05</v>
      </c>
      <c r="N12" s="17">
        <v>0.04</v>
      </c>
      <c r="O12" s="17">
        <v>0.04</v>
      </c>
      <c r="P12" s="17">
        <v>0.03</v>
      </c>
      <c r="Q12" s="17">
        <v>0.03</v>
      </c>
      <c r="R12" s="17">
        <v>2.5000000000000001E-2</v>
      </c>
    </row>
    <row r="13" spans="1:28" ht="15.95" customHeight="1" x14ac:dyDescent="0.25">
      <c r="A13" s="5"/>
      <c r="B13" s="4" t="s">
        <v>22</v>
      </c>
      <c r="C13" s="13">
        <f t="shared" ref="C13:E13" si="4">C14/C11</f>
        <v>0.12450835271727638</v>
      </c>
      <c r="D13" s="13">
        <f t="shared" si="4"/>
        <v>0.13498799039231385</v>
      </c>
      <c r="E13" s="13">
        <f t="shared" si="4"/>
        <v>0.13641605595029946</v>
      </c>
      <c r="F13" s="13">
        <f t="shared" ref="F13:J13" si="5">F14/F11</f>
        <v>0.14286430816558551</v>
      </c>
      <c r="G13" s="13">
        <f t="shared" si="5"/>
        <v>0.13217529588060797</v>
      </c>
      <c r="H13" s="67">
        <f t="shared" si="5"/>
        <v>0.13369453799970712</v>
      </c>
      <c r="I13" s="67">
        <f t="shared" si="5"/>
        <v>0.13479801559177887</v>
      </c>
      <c r="J13" s="67">
        <f t="shared" si="5"/>
        <v>0.13554881412024269</v>
      </c>
      <c r="K13" s="67">
        <v>0.14000000000000001</v>
      </c>
      <c r="L13" s="67">
        <v>0.15</v>
      </c>
      <c r="M13" s="67">
        <v>0.16</v>
      </c>
      <c r="N13" s="67">
        <v>0.17</v>
      </c>
      <c r="O13" s="67">
        <v>0.17</v>
      </c>
      <c r="P13" s="67">
        <v>0.17</v>
      </c>
      <c r="Q13" s="67">
        <v>0.18</v>
      </c>
      <c r="R13" s="67">
        <v>0.18</v>
      </c>
    </row>
    <row r="14" spans="1:28" ht="17.100000000000001" customHeight="1" x14ac:dyDescent="0.25">
      <c r="A14" s="5"/>
      <c r="B14" s="4" t="s">
        <v>23</v>
      </c>
      <c r="C14" s="12">
        <v>5.8879999999999999</v>
      </c>
      <c r="D14" s="12">
        <v>6.7439999999999998</v>
      </c>
      <c r="E14" s="12">
        <v>7.3339999999999996</v>
      </c>
      <c r="F14" s="12">
        <v>8.5449999999999999</v>
      </c>
      <c r="G14" s="12">
        <v>8.6440000000000001</v>
      </c>
      <c r="H14" s="16">
        <v>9.1300000000000008</v>
      </c>
      <c r="I14" s="16">
        <v>9.51</v>
      </c>
      <c r="J14" s="16">
        <v>9.83</v>
      </c>
      <c r="K14" s="16">
        <f t="shared" ref="K14:R14" si="6">K11*K13</f>
        <v>10.660440000000001</v>
      </c>
      <c r="L14" s="16">
        <f t="shared" si="6"/>
        <v>11.992994999999999</v>
      </c>
      <c r="M14" s="16">
        <f t="shared" si="6"/>
        <v>13.4321544</v>
      </c>
      <c r="N14" s="16">
        <f t="shared" si="6"/>
        <v>14.842530612000001</v>
      </c>
      <c r="O14" s="16">
        <f>O11*O13</f>
        <v>15.436231836480001</v>
      </c>
      <c r="P14" s="16">
        <f t="shared" si="6"/>
        <v>15.899318791574402</v>
      </c>
      <c r="Q14" s="16">
        <f t="shared" si="6"/>
        <v>17.339610023281729</v>
      </c>
      <c r="R14" s="16">
        <f t="shared" si="6"/>
        <v>17.773100273863768</v>
      </c>
    </row>
    <row r="15" spans="1:28" ht="16.5" thickBot="1" x14ac:dyDescent="0.3">
      <c r="A15" s="15">
        <v>0.25</v>
      </c>
      <c r="B15" s="4" t="s">
        <v>35</v>
      </c>
      <c r="C15" s="14">
        <v>5.173</v>
      </c>
      <c r="D15" s="12">
        <v>1.9630000000000001</v>
      </c>
      <c r="E15" s="12">
        <v>5.0460000000000003</v>
      </c>
      <c r="F15" s="12">
        <v>6.23</v>
      </c>
      <c r="G15" s="12">
        <v>6.8330000000000002</v>
      </c>
      <c r="H15" s="16">
        <v>7.47</v>
      </c>
      <c r="I15" s="16">
        <v>7.69</v>
      </c>
      <c r="J15" s="16">
        <v>7.88</v>
      </c>
      <c r="K15" s="16">
        <f t="shared" ref="K15:L15" si="7">K14*(1-$A$15)</f>
        <v>7.9953300000000009</v>
      </c>
      <c r="L15" s="16">
        <f t="shared" si="7"/>
        <v>8.9947462499999986</v>
      </c>
      <c r="M15" s="16">
        <f t="shared" ref="M15:Q15" si="8">M14*(1-$A$15)</f>
        <v>10.0741158</v>
      </c>
      <c r="N15" s="16">
        <f t="shared" si="8"/>
        <v>11.131897959</v>
      </c>
      <c r="O15" s="16">
        <f t="shared" si="8"/>
        <v>11.57717387736</v>
      </c>
      <c r="P15" s="16">
        <f t="shared" si="8"/>
        <v>11.924489093680801</v>
      </c>
      <c r="Q15" s="16">
        <f t="shared" si="8"/>
        <v>13.004707517461297</v>
      </c>
      <c r="R15" s="16">
        <f>R14*(1-$A$15)</f>
        <v>13.329825205397826</v>
      </c>
    </row>
    <row r="16" spans="1:28" ht="32.25" thickBot="1" x14ac:dyDescent="0.3">
      <c r="A16" s="18" t="s">
        <v>7</v>
      </c>
      <c r="B16" s="19"/>
      <c r="C16" s="20">
        <f t="shared" ref="C16:D16" si="9">C15/C14</f>
        <v>0.87856657608695654</v>
      </c>
      <c r="D16" s="20">
        <f t="shared" si="9"/>
        <v>0.29107354685646503</v>
      </c>
      <c r="E16" s="20">
        <f>E15/E14</f>
        <v>0.68802836105808574</v>
      </c>
      <c r="F16" s="20">
        <f>F15/F14</f>
        <v>0.72908133411351672</v>
      </c>
      <c r="G16" s="21">
        <f>G15/G14</f>
        <v>0.79049051365108747</v>
      </c>
      <c r="H16" s="21">
        <f t="shared" ref="H16:K16" si="10">H15/H14</f>
        <v>0.81818181818181812</v>
      </c>
      <c r="I16" s="21">
        <f t="shared" si="10"/>
        <v>0.80862250262881186</v>
      </c>
      <c r="J16" s="21">
        <f t="shared" si="10"/>
        <v>0.80162767039674465</v>
      </c>
      <c r="K16" s="21">
        <f t="shared" si="10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17</v>
      </c>
      <c r="G19" s="62"/>
      <c r="H19" s="63">
        <f>H15/(1+$C$55)</f>
        <v>6.7909090909090901</v>
      </c>
      <c r="I19" s="63">
        <f>I15/(1+$C$55)^2</f>
        <v>6.3553719008264453</v>
      </c>
      <c r="J19" s="63">
        <f>J15/(1+$C$55)^3</f>
        <v>5.9203606311044306</v>
      </c>
      <c r="K19" s="63">
        <f>K15/(1+$C$55)^4</f>
        <v>5.4609179700840098</v>
      </c>
      <c r="L19" s="63">
        <f>L15/(1+$C$55)^5</f>
        <v>5.5850297421313719</v>
      </c>
      <c r="M19" s="63">
        <f>M15/(1+$C$55)^6</f>
        <v>5.6865757374428512</v>
      </c>
      <c r="N19" s="63">
        <f>N15/(1+$C$55)^7</f>
        <v>5.7124238089766814</v>
      </c>
      <c r="O19" s="63">
        <f>O15/(1+$C$55)^8</f>
        <v>5.400837055759772</v>
      </c>
      <c r="P19" s="63">
        <f>P15/(1+$C$55)^9</f>
        <v>5.0571474249386963</v>
      </c>
      <c r="Q19" s="63">
        <f>Q15/(1+$C$55)^10</f>
        <v>5.0138777143509845</v>
      </c>
      <c r="R19" s="64">
        <f>(R15/(C55-R12))/(1+C55)^10</f>
        <v>68.52299542946345</v>
      </c>
    </row>
    <row r="20" spans="1:18" x14ac:dyDescent="0.25">
      <c r="A20" s="2"/>
      <c r="C20" s="85">
        <v>0.25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36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20</v>
      </c>
      <c r="C26" s="44"/>
      <c r="D26" s="46">
        <v>0.01</v>
      </c>
      <c r="E26" s="33" t="s">
        <v>38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8.4999999999999992E-2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14</v>
      </c>
      <c r="C46" s="37"/>
      <c r="D46" s="53">
        <f>D30+D34</f>
        <v>9.9999999999999992E-2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44477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6</v>
      </c>
      <c r="C49" s="56">
        <f>C50*C51</f>
        <v>97959.035000000003</v>
      </c>
      <c r="D49" s="57">
        <f>SUM(H19:R19)*1000</f>
        <v>125506.44650598778</v>
      </c>
      <c r="E49" s="55" t="s">
        <v>34</v>
      </c>
    </row>
    <row r="50" spans="1:6" x14ac:dyDescent="0.25">
      <c r="A50" s="54"/>
      <c r="B50" s="55" t="s">
        <v>16</v>
      </c>
      <c r="C50" s="87">
        <v>276.916</v>
      </c>
      <c r="D50" s="56">
        <f>C50*0.95</f>
        <v>263.0702</v>
      </c>
      <c r="E50" s="55"/>
      <c r="F50" s="1" t="s">
        <v>40</v>
      </c>
    </row>
    <row r="51" spans="1:6" x14ac:dyDescent="0.25">
      <c r="A51" s="54"/>
      <c r="B51" s="55" t="s">
        <v>18</v>
      </c>
      <c r="C51" s="68">
        <v>353.75</v>
      </c>
      <c r="D51" s="68">
        <f>D49/(D50)</f>
        <v>477.08348002163598</v>
      </c>
      <c r="E51" s="55" t="s">
        <v>34</v>
      </c>
    </row>
    <row r="52" spans="1:6" x14ac:dyDescent="0.25">
      <c r="A52" s="54"/>
      <c r="B52" s="55" t="s">
        <v>2</v>
      </c>
      <c r="C52" s="55"/>
      <c r="D52" s="69">
        <f>IF(C51/D51-1&gt;0,0,C51/D51-1)</f>
        <v>-0.25851551182623789</v>
      </c>
      <c r="E52" s="55"/>
    </row>
    <row r="53" spans="1:6" x14ac:dyDescent="0.25">
      <c r="A53" s="54"/>
      <c r="B53" s="55" t="s">
        <v>21</v>
      </c>
      <c r="C53" s="55"/>
      <c r="D53" s="70">
        <f>IF(C51/D51-1&lt;0,0,C51/D51-1)</f>
        <v>0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4</v>
      </c>
      <c r="B55" s="55"/>
      <c r="C55" s="60">
        <f>D46</f>
        <v>9.9999999999999992E-2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31</v>
      </c>
      <c r="B57" s="30"/>
      <c r="C57" s="82">
        <v>18</v>
      </c>
      <c r="D57" s="30"/>
      <c r="E57" s="31"/>
    </row>
    <row r="58" spans="1:6" x14ac:dyDescent="0.25">
      <c r="A58" s="32"/>
      <c r="B58" s="33"/>
      <c r="C58" s="83"/>
      <c r="D58" s="33"/>
      <c r="E58" s="34"/>
    </row>
    <row r="59" spans="1:6" x14ac:dyDescent="0.25">
      <c r="A59" s="32" t="s">
        <v>24</v>
      </c>
      <c r="B59" s="33"/>
      <c r="C59" s="83"/>
      <c r="D59" s="33"/>
      <c r="E59" s="72">
        <f>R15*C57*1000</f>
        <v>239936.85369716087</v>
      </c>
    </row>
    <row r="60" spans="1:6" x14ac:dyDescent="0.25">
      <c r="A60" s="32"/>
      <c r="B60" s="33"/>
      <c r="C60" s="83"/>
      <c r="D60" s="33"/>
      <c r="E60" s="34"/>
    </row>
    <row r="61" spans="1:6" x14ac:dyDescent="0.25">
      <c r="A61" s="32" t="s">
        <v>25</v>
      </c>
      <c r="B61" s="33"/>
      <c r="C61" s="84">
        <v>0.5</v>
      </c>
      <c r="D61" s="33"/>
      <c r="E61" s="34"/>
    </row>
    <row r="62" spans="1:6" x14ac:dyDescent="0.25">
      <c r="A62" s="32"/>
      <c r="B62" s="33"/>
      <c r="C62" s="33"/>
      <c r="D62" s="33"/>
      <c r="E62" s="34"/>
    </row>
    <row r="63" spans="1:6" x14ac:dyDescent="0.25">
      <c r="A63" s="32" t="s">
        <v>26</v>
      </c>
      <c r="B63" s="33"/>
      <c r="C63" s="33"/>
      <c r="D63" s="33"/>
      <c r="E63" s="72">
        <f>SUM(H15:R15)*C61*1000</f>
        <v>55536.142851449964</v>
      </c>
    </row>
    <row r="64" spans="1:6" x14ac:dyDescent="0.25">
      <c r="A64" s="32"/>
      <c r="B64" s="33"/>
      <c r="C64" s="33"/>
      <c r="D64" s="33"/>
      <c r="E64" s="73"/>
    </row>
    <row r="65" spans="1:5" x14ac:dyDescent="0.25">
      <c r="A65" s="74" t="s">
        <v>27</v>
      </c>
      <c r="B65" s="33"/>
      <c r="C65" s="33"/>
      <c r="D65" s="33"/>
      <c r="E65" s="75">
        <f>(E63*0.25)*-1</f>
        <v>-13884.035712862491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28</v>
      </c>
      <c r="B67" s="33"/>
      <c r="C67" s="33"/>
      <c r="D67" s="33"/>
      <c r="E67" s="72">
        <f>SUM(E59:E65)</f>
        <v>281588.96083574835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29</v>
      </c>
      <c r="B69" s="33"/>
      <c r="C69" s="33"/>
      <c r="D69" s="33"/>
      <c r="E69" s="76">
        <f>E67/C49-1</f>
        <v>1.8745583379394084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30</v>
      </c>
      <c r="B71" s="78"/>
      <c r="C71" s="78"/>
      <c r="D71" s="78"/>
      <c r="E71" s="81">
        <f>(E67/C49)^(1/10)-1</f>
        <v>0.11136601637768084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2021-10-08T20:23:24Z</dcterms:modified>
</cp:coreProperties>
</file>