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ris_grca1ny\Desktop\CS-Research\Aktienanalysen\Lockheed Martin\"/>
    </mc:Choice>
  </mc:AlternateContent>
  <bookViews>
    <workbookView xWindow="0" yWindow="0" windowWidth="24000" windowHeight="9630"/>
  </bookViews>
  <sheets>
    <sheet name="26.10.2021" sheetId="17" r:id="rId1"/>
    <sheet name="Pessimistisch" sheetId="16" r:id="rId2"/>
    <sheet name="Optimistisch" sheetId="10" r:id="rId3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7" l="1"/>
  <c r="I15" i="17"/>
  <c r="J15" i="17"/>
  <c r="K11" i="17"/>
  <c r="K14" i="17"/>
  <c r="K15" i="17"/>
  <c r="H12" i="17"/>
  <c r="I12" i="17"/>
  <c r="H14" i="17"/>
  <c r="J11" i="17"/>
  <c r="L11" i="17"/>
  <c r="M11" i="17"/>
  <c r="N11" i="17"/>
  <c r="O11" i="17"/>
  <c r="P11" i="17"/>
  <c r="Q11" i="17"/>
  <c r="R11" i="17"/>
  <c r="R14" i="17"/>
  <c r="R15" i="17"/>
  <c r="E59" i="17"/>
  <c r="L14" i="17"/>
  <c r="L15" i="17"/>
  <c r="M14" i="17"/>
  <c r="M15" i="17"/>
  <c r="N14" i="17"/>
  <c r="N15" i="17"/>
  <c r="O14" i="17"/>
  <c r="O15" i="17"/>
  <c r="P14" i="17"/>
  <c r="P15" i="17"/>
  <c r="Q14" i="17"/>
  <c r="Q15" i="17"/>
  <c r="E63" i="17"/>
  <c r="E65" i="17"/>
  <c r="E67" i="17"/>
  <c r="C49" i="17"/>
  <c r="E71" i="17"/>
  <c r="E69" i="17"/>
  <c r="D30" i="17"/>
  <c r="D46" i="17"/>
  <c r="C55" i="17"/>
  <c r="H19" i="17"/>
  <c r="I19" i="17"/>
  <c r="J19" i="17"/>
  <c r="K19" i="17"/>
  <c r="L19" i="17"/>
  <c r="M19" i="17"/>
  <c r="N19" i="17"/>
  <c r="O19" i="17"/>
  <c r="P19" i="17"/>
  <c r="Q19" i="17"/>
  <c r="R19" i="17"/>
  <c r="D49" i="17"/>
  <c r="D50" i="17"/>
  <c r="D51" i="17"/>
  <c r="D53" i="17"/>
  <c r="D52" i="17"/>
  <c r="D44" i="17"/>
  <c r="D43" i="17"/>
  <c r="D42" i="17"/>
  <c r="D41" i="17"/>
  <c r="D40" i="17"/>
  <c r="K16" i="17"/>
  <c r="J14" i="17"/>
  <c r="J16" i="17"/>
  <c r="I14" i="17"/>
  <c r="I16" i="17"/>
  <c r="H16" i="17"/>
  <c r="G16" i="17"/>
  <c r="F16" i="17"/>
  <c r="E16" i="17"/>
  <c r="D16" i="17"/>
  <c r="C16" i="17"/>
  <c r="G13" i="17"/>
  <c r="F13" i="17"/>
  <c r="E13" i="17"/>
  <c r="D13" i="17"/>
  <c r="C13" i="17"/>
  <c r="G12" i="17"/>
  <c r="F12" i="17"/>
  <c r="E12" i="17"/>
  <c r="D12" i="17"/>
  <c r="K14" i="10"/>
  <c r="I14" i="16"/>
  <c r="J14" i="16"/>
  <c r="K14" i="16"/>
  <c r="I11" i="16"/>
  <c r="J11" i="16"/>
  <c r="K11" i="16"/>
  <c r="L11" i="16"/>
  <c r="M11" i="16"/>
  <c r="N11" i="16"/>
  <c r="O11" i="16"/>
  <c r="P11" i="16"/>
  <c r="Q11" i="16"/>
  <c r="R11" i="16"/>
  <c r="R14" i="16"/>
  <c r="R15" i="16"/>
  <c r="E59" i="16"/>
  <c r="K15" i="16"/>
  <c r="L14" i="16"/>
  <c r="L15" i="16"/>
  <c r="M14" i="16"/>
  <c r="M15" i="16"/>
  <c r="N14" i="16"/>
  <c r="N15" i="16"/>
  <c r="O14" i="16"/>
  <c r="O15" i="16"/>
  <c r="P14" i="16"/>
  <c r="P15" i="16"/>
  <c r="Q14" i="16"/>
  <c r="Q15" i="16"/>
  <c r="E63" i="16"/>
  <c r="E65" i="16"/>
  <c r="E67" i="16"/>
  <c r="C49" i="16"/>
  <c r="E71" i="16"/>
  <c r="E69" i="16"/>
  <c r="D30" i="16"/>
  <c r="D46" i="16"/>
  <c r="C55" i="16"/>
  <c r="H19" i="16"/>
  <c r="I19" i="16"/>
  <c r="J19" i="16"/>
  <c r="K19" i="16"/>
  <c r="L19" i="16"/>
  <c r="M19" i="16"/>
  <c r="N19" i="16"/>
  <c r="O19" i="16"/>
  <c r="P19" i="16"/>
  <c r="Q19" i="16"/>
  <c r="R19" i="16"/>
  <c r="D49" i="16"/>
  <c r="D50" i="16"/>
  <c r="D51" i="16"/>
  <c r="D53" i="16"/>
  <c r="D52" i="16"/>
  <c r="D44" i="16"/>
  <c r="D43" i="16"/>
  <c r="D42" i="16"/>
  <c r="D41" i="16"/>
  <c r="D40" i="16"/>
  <c r="K16" i="16"/>
  <c r="J16" i="16"/>
  <c r="I16" i="16"/>
  <c r="G16" i="16"/>
  <c r="F16" i="16"/>
  <c r="E16" i="16"/>
  <c r="D16" i="16"/>
  <c r="C16" i="16"/>
  <c r="G13" i="16"/>
  <c r="F13" i="16"/>
  <c r="E13" i="16"/>
  <c r="D13" i="16"/>
  <c r="C13" i="16"/>
  <c r="H12" i="16"/>
  <c r="G12" i="16"/>
  <c r="F12" i="16"/>
  <c r="E12" i="16"/>
  <c r="D12" i="16"/>
  <c r="C16" i="10"/>
  <c r="D16" i="10"/>
  <c r="C49" i="10"/>
  <c r="K11" i="10"/>
  <c r="L11" i="10"/>
  <c r="M11" i="10"/>
  <c r="N11" i="10"/>
  <c r="O11" i="10"/>
  <c r="P11" i="10"/>
  <c r="Q11" i="10"/>
  <c r="R11" i="10"/>
  <c r="R14" i="10"/>
  <c r="R15" i="10"/>
  <c r="E59" i="10"/>
  <c r="L14" i="10"/>
  <c r="L15" i="10"/>
  <c r="M14" i="10"/>
  <c r="M15" i="10"/>
  <c r="N14" i="10"/>
  <c r="N15" i="10"/>
  <c r="O14" i="10"/>
  <c r="O15" i="10"/>
  <c r="P14" i="10"/>
  <c r="P15" i="10"/>
  <c r="Q14" i="10"/>
  <c r="Q15" i="10"/>
  <c r="K15" i="10"/>
  <c r="E63" i="10"/>
  <c r="E65" i="10"/>
  <c r="E67" i="10"/>
  <c r="D50" i="10"/>
  <c r="D30" i="10"/>
  <c r="D46" i="10"/>
  <c r="C55" i="10"/>
  <c r="L19" i="10"/>
  <c r="M19" i="10"/>
  <c r="N19" i="10"/>
  <c r="O19" i="10"/>
  <c r="P19" i="10"/>
  <c r="Q19" i="10"/>
  <c r="R19" i="10"/>
  <c r="H19" i="10"/>
  <c r="I19" i="10"/>
  <c r="J19" i="10"/>
  <c r="K19" i="10"/>
  <c r="D49" i="10"/>
  <c r="E16" i="10"/>
  <c r="D12" i="10"/>
  <c r="E12" i="10"/>
  <c r="F12" i="10"/>
  <c r="C13" i="10"/>
  <c r="D13" i="10"/>
  <c r="E13" i="10"/>
  <c r="E71" i="10"/>
  <c r="E69" i="10"/>
  <c r="H12" i="10"/>
  <c r="H13" i="10"/>
  <c r="I13" i="10"/>
  <c r="J13" i="10"/>
  <c r="H16" i="10"/>
  <c r="I16" i="10"/>
  <c r="J16" i="10"/>
  <c r="K16" i="10"/>
  <c r="G16" i="10"/>
  <c r="F16" i="10"/>
  <c r="G13" i="10"/>
  <c r="F13" i="10"/>
  <c r="J12" i="10"/>
  <c r="I12" i="10"/>
  <c r="G12" i="10"/>
  <c r="D44" i="10"/>
  <c r="D43" i="10"/>
  <c r="D42" i="10"/>
  <c r="D41" i="10"/>
  <c r="D40" i="10"/>
  <c r="D51" i="10"/>
  <c r="D52" i="10"/>
  <c r="D53" i="10"/>
  <c r="H16" i="16"/>
  <c r="H13" i="16"/>
</calcChain>
</file>

<file path=xl/sharedStrings.xml><?xml version="1.0" encoding="utf-8"?>
<sst xmlns="http://schemas.openxmlformats.org/spreadsheetml/2006/main" count="123" uniqueCount="43">
  <si>
    <t>Bewertung</t>
  </si>
  <si>
    <t>Umsatz-Wachstum, %</t>
  </si>
  <si>
    <t>Unterbewertung</t>
  </si>
  <si>
    <t>Fairer Wert</t>
  </si>
  <si>
    <t>Diskontierungsfaktor (WACC)</t>
  </si>
  <si>
    <t>Umsatz</t>
  </si>
  <si>
    <t>Marktkapitalisierung, Mio.</t>
  </si>
  <si>
    <t>Verhältnis EBIT zu Konzerngewinn:</t>
  </si>
  <si>
    <t>Bestimmung des WACC:</t>
  </si>
  <si>
    <t>Branche</t>
  </si>
  <si>
    <t>Gesamt Branche:</t>
  </si>
  <si>
    <t>EK Quote:</t>
  </si>
  <si>
    <t>Vereinfachter WACC:</t>
  </si>
  <si>
    <t>Schätzungen »</t>
  </si>
  <si>
    <t>WACC gesamt</t>
  </si>
  <si>
    <t>Discounted Net-Profit Modell</t>
  </si>
  <si>
    <t>Anzahl Aktien gesamt, Mio.</t>
  </si>
  <si>
    <t>Abgezinster Gewinn:</t>
  </si>
  <si>
    <t xml:space="preserve">Kurs pro Aktie </t>
  </si>
  <si>
    <t>2031ff.</t>
  </si>
  <si>
    <t>Sicherheitszuschlag</t>
  </si>
  <si>
    <t>Überbewertung</t>
  </si>
  <si>
    <t>EBIT Marge, %</t>
  </si>
  <si>
    <t>EBIT</t>
  </si>
  <si>
    <t>Konzerngewinn x multiple</t>
  </si>
  <si>
    <t xml:space="preserve">Ausschüttungsquote </t>
  </si>
  <si>
    <t xml:space="preserve">Ausgeschüttete Gewinne </t>
  </si>
  <si>
    <t>Quellensteuer</t>
  </si>
  <si>
    <t>Gesamtwert 2031</t>
  </si>
  <si>
    <t>Steigerung Gesamt bis 2031 in Prozent</t>
  </si>
  <si>
    <t>Renditeerwartung bis 2031 pro Jahr</t>
  </si>
  <si>
    <t>Gewinnmultiple in 2031</t>
  </si>
  <si>
    <t>Optimistische Annahmen für Lockheed</t>
  </si>
  <si>
    <t>Alle Angaben in Mrd. USD</t>
  </si>
  <si>
    <t>USD</t>
  </si>
  <si>
    <t>Gewinn (25% Zinsen/Steuern/sonstiges)</t>
  </si>
  <si>
    <t>Rüstung/Weltraum</t>
  </si>
  <si>
    <t xml:space="preserve">sehr hohe FK Quote --&gt; kommt aber auch stark durch die hohen Aktienrückkäufe </t>
  </si>
  <si>
    <t>hohe Klumpenabhänigkeit von US-Regierung</t>
  </si>
  <si>
    <t>Pessimistische Annahmen für Lockheed</t>
  </si>
  <si>
    <t>5 % Aktienrückgang</t>
  </si>
  <si>
    <t>EK Zins (fikitiv)</t>
  </si>
  <si>
    <t>EK Zins (fiktiv):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</si>
</sst>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;@"/>
    <numFmt numFmtId="165" formatCode="0.0%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20"/>
      <color theme="1"/>
      <name val="Calibri"/>
      <family val="2"/>
      <scheme val="minor"/>
    </font>
    <font>
      <sz val="12"/>
      <color theme="1" tint="4.9989318521683403E-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F2F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theme="0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5" fillId="2" borderId="0" xfId="0" applyFont="1" applyFill="1"/>
    <xf numFmtId="0" fontId="0" fillId="3" borderId="0" xfId="0" applyFill="1"/>
    <xf numFmtId="0" fontId="3" fillId="3" borderId="0" xfId="0" applyFont="1" applyFill="1" applyAlignment="1">
      <alignment vertical="center" wrapText="1"/>
    </xf>
    <xf numFmtId="0" fontId="7" fillId="2" borderId="0" xfId="0" applyFont="1" applyFill="1"/>
    <xf numFmtId="9" fontId="7" fillId="2" borderId="0" xfId="1" applyFont="1" applyFill="1"/>
    <xf numFmtId="0" fontId="0" fillId="4" borderId="0" xfId="0" applyFill="1"/>
    <xf numFmtId="0" fontId="3" fillId="4" borderId="0" xfId="0" applyFont="1" applyFill="1"/>
    <xf numFmtId="0" fontId="2" fillId="4" borderId="0" xfId="0" applyFont="1" applyFill="1"/>
    <xf numFmtId="0" fontId="3" fillId="5" borderId="0" xfId="0" applyFont="1" applyFill="1"/>
    <xf numFmtId="3" fontId="0" fillId="5" borderId="0" xfId="0" applyNumberFormat="1" applyFont="1" applyFill="1"/>
    <xf numFmtId="9" fontId="0" fillId="5" borderId="0" xfId="1" applyFont="1" applyFill="1"/>
    <xf numFmtId="3" fontId="0" fillId="5" borderId="0" xfId="0" applyNumberFormat="1" applyFill="1"/>
    <xf numFmtId="9" fontId="1" fillId="6" borderId="0" xfId="1" applyFont="1" applyFill="1"/>
    <xf numFmtId="3" fontId="0" fillId="7" borderId="0" xfId="0" applyNumberFormat="1" applyFont="1" applyFill="1"/>
    <xf numFmtId="165" fontId="1" fillId="7" borderId="0" xfId="1" applyNumberFormat="1" applyFont="1" applyFill="1"/>
    <xf numFmtId="0" fontId="0" fillId="2" borderId="1" xfId="0" applyFill="1" applyBorder="1" applyAlignment="1">
      <alignment wrapText="1"/>
    </xf>
    <xf numFmtId="0" fontId="6" fillId="2" borderId="2" xfId="0" applyFont="1" applyFill="1" applyBorder="1"/>
    <xf numFmtId="9" fontId="0" fillId="2" borderId="2" xfId="1" applyFont="1" applyFill="1" applyBorder="1"/>
    <xf numFmtId="9" fontId="0" fillId="2" borderId="3" xfId="1" applyFont="1" applyFill="1" applyBorder="1"/>
    <xf numFmtId="0" fontId="0" fillId="6" borderId="0" xfId="0" applyFill="1" applyAlignment="1">
      <alignment wrapText="1"/>
    </xf>
    <xf numFmtId="0" fontId="0" fillId="6" borderId="0" xfId="0" applyFill="1"/>
    <xf numFmtId="164" fontId="3" fillId="6" borderId="0" xfId="0" applyNumberFormat="1" applyFont="1" applyFill="1"/>
    <xf numFmtId="0" fontId="3" fillId="6" borderId="0" xfId="0" applyFont="1" applyFill="1" applyAlignment="1">
      <alignment horizontal="right"/>
    </xf>
    <xf numFmtId="0" fontId="5" fillId="6" borderId="0" xfId="0" applyFont="1" applyFill="1"/>
    <xf numFmtId="0" fontId="8" fillId="6" borderId="0" xfId="0" applyFont="1" applyFill="1"/>
    <xf numFmtId="4" fontId="3" fillId="6" borderId="0" xfId="0" applyNumberFormat="1" applyFont="1" applyFill="1"/>
    <xf numFmtId="0" fontId="3" fillId="2" borderId="0" xfId="0" applyFont="1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0" xfId="0" applyFill="1" applyBorder="1"/>
    <xf numFmtId="0" fontId="0" fillId="2" borderId="8" xfId="0" applyFill="1" applyBorder="1"/>
    <xf numFmtId="10" fontId="0" fillId="2" borderId="0" xfId="0" applyNumberFormat="1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9" fillId="2" borderId="0" xfId="0" applyFont="1" applyFill="1"/>
    <xf numFmtId="4" fontId="3" fillId="2" borderId="4" xfId="0" applyNumberFormat="1" applyFont="1" applyFill="1" applyBorder="1"/>
    <xf numFmtId="4" fontId="0" fillId="2" borderId="5" xfId="0" applyNumberFormat="1" applyFill="1" applyBorder="1"/>
    <xf numFmtId="3" fontId="0" fillId="2" borderId="5" xfId="0" applyNumberFormat="1" applyFill="1" applyBorder="1"/>
    <xf numFmtId="4" fontId="0" fillId="2" borderId="7" xfId="0" applyNumberFormat="1" applyFill="1" applyBorder="1"/>
    <xf numFmtId="4" fontId="0" fillId="2" borderId="0" xfId="0" applyNumberFormat="1" applyFill="1" applyBorder="1"/>
    <xf numFmtId="3" fontId="0" fillId="2" borderId="0" xfId="0" applyNumberFormat="1" applyFill="1" applyBorder="1"/>
    <xf numFmtId="165" fontId="1" fillId="2" borderId="0" xfId="1" applyNumberFormat="1" applyFont="1" applyFill="1" applyBorder="1"/>
    <xf numFmtId="3" fontId="3" fillId="2" borderId="0" xfId="0" applyNumberFormat="1" applyFont="1" applyFill="1" applyBorder="1"/>
    <xf numFmtId="165" fontId="3" fillId="2" borderId="0" xfId="1" applyNumberFormat="1" applyFont="1" applyFill="1" applyBorder="1"/>
    <xf numFmtId="9" fontId="0" fillId="2" borderId="0" xfId="1" applyNumberFormat="1" applyFont="1" applyFill="1" applyBorder="1"/>
    <xf numFmtId="9" fontId="0" fillId="2" borderId="0" xfId="0" applyNumberFormat="1" applyFill="1" applyBorder="1"/>
    <xf numFmtId="9" fontId="3" fillId="2" borderId="0" xfId="0" applyNumberFormat="1" applyFont="1" applyFill="1" applyBorder="1"/>
    <xf numFmtId="9" fontId="0" fillId="2" borderId="0" xfId="1" applyFont="1" applyFill="1" applyBorder="1"/>
    <xf numFmtId="10" fontId="3" fillId="2" borderId="10" xfId="0" applyNumberFormat="1" applyFont="1" applyFill="1" applyBorder="1"/>
    <xf numFmtId="0" fontId="3" fillId="8" borderId="0" xfId="0" applyFont="1" applyFill="1" applyAlignment="1">
      <alignment vertical="center" wrapText="1"/>
    </xf>
    <xf numFmtId="0" fontId="0" fillId="8" borderId="0" xfId="0" applyFill="1"/>
    <xf numFmtId="3" fontId="0" fillId="8" borderId="0" xfId="0" applyNumberFormat="1" applyFont="1" applyFill="1"/>
    <xf numFmtId="4" fontId="7" fillId="8" borderId="0" xfId="0" applyNumberFormat="1" applyFont="1" applyFill="1"/>
    <xf numFmtId="0" fontId="3" fillId="8" borderId="0" xfId="0" applyFont="1" applyFill="1"/>
    <xf numFmtId="1" fontId="1" fillId="8" borderId="0" xfId="1" applyNumberFormat="1" applyFont="1" applyFill="1"/>
    <xf numFmtId="10" fontId="3" fillId="8" borderId="0" xfId="1" applyNumberFormat="1" applyFont="1" applyFill="1"/>
    <xf numFmtId="0" fontId="0" fillId="2" borderId="1" xfId="0" applyFill="1" applyBorder="1"/>
    <xf numFmtId="0" fontId="7" fillId="2" borderId="2" xfId="0" applyFont="1" applyFill="1" applyBorder="1"/>
    <xf numFmtId="2" fontId="5" fillId="2" borderId="2" xfId="0" applyNumberFormat="1" applyFont="1" applyFill="1" applyBorder="1"/>
    <xf numFmtId="2" fontId="5" fillId="2" borderId="3" xfId="0" applyNumberFormat="1" applyFont="1" applyFill="1" applyBorder="1"/>
    <xf numFmtId="0" fontId="8" fillId="7" borderId="0" xfId="0" applyFont="1" applyFill="1" applyAlignment="1">
      <alignment horizontal="right" vertical="center"/>
    </xf>
    <xf numFmtId="0" fontId="3" fillId="7" borderId="0" xfId="0" applyFont="1" applyFill="1"/>
    <xf numFmtId="9" fontId="0" fillId="7" borderId="0" xfId="1" applyFont="1" applyFill="1"/>
    <xf numFmtId="4" fontId="0" fillId="8" borderId="0" xfId="0" applyNumberFormat="1" applyFill="1"/>
    <xf numFmtId="9" fontId="0" fillId="9" borderId="0" xfId="1" applyFont="1" applyFill="1"/>
    <xf numFmtId="9" fontId="3" fillId="8" borderId="0" xfId="1" applyFont="1" applyFill="1"/>
    <xf numFmtId="0" fontId="0" fillId="2" borderId="4" xfId="0" applyFill="1" applyBorder="1"/>
    <xf numFmtId="4" fontId="0" fillId="2" borderId="8" xfId="0" applyNumberFormat="1" applyFill="1" applyBorder="1"/>
    <xf numFmtId="3" fontId="4" fillId="2" borderId="8" xfId="0" quotePrefix="1" applyNumberFormat="1" applyFont="1" applyFill="1" applyBorder="1"/>
    <xf numFmtId="10" fontId="0" fillId="2" borderId="7" xfId="0" applyNumberFormat="1" applyFill="1" applyBorder="1"/>
    <xf numFmtId="4" fontId="10" fillId="2" borderId="8" xfId="0" quotePrefix="1" applyNumberFormat="1" applyFont="1" applyFill="1" applyBorder="1"/>
    <xf numFmtId="9" fontId="0" fillId="2" borderId="8" xfId="1" applyFont="1" applyFill="1" applyBorder="1"/>
    <xf numFmtId="0" fontId="0" fillId="10" borderId="9" xfId="0" applyFill="1" applyBorder="1"/>
    <xf numFmtId="0" fontId="0" fillId="10" borderId="10" xfId="0" applyFill="1" applyBorder="1"/>
    <xf numFmtId="10" fontId="3" fillId="2" borderId="0" xfId="1" applyNumberFormat="1" applyFont="1" applyFill="1"/>
    <xf numFmtId="1" fontId="1" fillId="2" borderId="0" xfId="1" applyNumberFormat="1" applyFont="1" applyFill="1"/>
    <xf numFmtId="165" fontId="0" fillId="10" borderId="11" xfId="1" applyNumberFormat="1" applyFont="1" applyFill="1" applyBorder="1"/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9" fontId="0" fillId="2" borderId="0" xfId="0" applyNumberFormat="1" applyFill="1" applyBorder="1" applyAlignment="1">
      <alignment horizontal="center"/>
    </xf>
    <xf numFmtId="9" fontId="0" fillId="2" borderId="0" xfId="0" applyNumberFormat="1" applyFill="1"/>
    <xf numFmtId="4" fontId="0" fillId="5" borderId="0" xfId="0" applyNumberFormat="1" applyFont="1" applyFill="1"/>
    <xf numFmtId="4" fontId="0" fillId="8" borderId="0" xfId="0" applyNumberFormat="1" applyFont="1" applyFill="1"/>
    <xf numFmtId="165" fontId="0" fillId="7" borderId="0" xfId="1" applyNumberFormat="1" applyFont="1" applyFill="1"/>
  </cellXfs>
  <cellStyles count="3">
    <cellStyle name="Prozent" xfId="1" builtinId="5"/>
    <cellStyle name="Prozent 2" xfId="2"/>
    <cellStyle name="Standard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99FF"/>
      <color rgb="FF009900"/>
      <color rgb="FFCCCCFF"/>
      <color rgb="FF9966FF"/>
      <color rgb="FF9900CC"/>
      <color rgb="FFFFEB7D"/>
      <color rgb="FFFFD802"/>
      <color rgb="FFFFFAE0"/>
      <color rgb="FFCBD5E0"/>
      <color rgb="FFFFE1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154782</xdr:colOff>
      <xdr:row>15</xdr:row>
      <xdr:rowOff>19845</xdr:rowOff>
    </xdr:from>
    <xdr:to>
      <xdr:col>2</xdr:col>
      <xdr:colOff>952500</xdr:colOff>
      <xdr:row>18</xdr:row>
      <xdr:rowOff>142875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H="1" flipV="1">
          <a:off x="2221707" y="3172620"/>
          <a:ext cx="3264693" cy="94218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1071563</xdr:colOff>
      <xdr:row>16</xdr:row>
      <xdr:rowOff>23812</xdr:rowOff>
    </xdr:from>
    <xdr:to>
      <xdr:col>4</xdr:col>
      <xdr:colOff>797718</xdr:colOff>
      <xdr:row>18</xdr:row>
      <xdr:rowOff>166687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5605463" y="3586162"/>
          <a:ext cx="2174080" cy="55245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154782</xdr:colOff>
      <xdr:row>15</xdr:row>
      <xdr:rowOff>19845</xdr:rowOff>
    </xdr:from>
    <xdr:to>
      <xdr:col>2</xdr:col>
      <xdr:colOff>952500</xdr:colOff>
      <xdr:row>18</xdr:row>
      <xdr:rowOff>142875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H="1" flipV="1">
          <a:off x="2221707" y="3172620"/>
          <a:ext cx="3264693" cy="94218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1071563</xdr:colOff>
      <xdr:row>16</xdr:row>
      <xdr:rowOff>23812</xdr:rowOff>
    </xdr:from>
    <xdr:to>
      <xdr:col>4</xdr:col>
      <xdr:colOff>797718</xdr:colOff>
      <xdr:row>18</xdr:row>
      <xdr:rowOff>166687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5605463" y="3586162"/>
          <a:ext cx="2174080" cy="55245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154782</xdr:colOff>
      <xdr:row>15</xdr:row>
      <xdr:rowOff>19845</xdr:rowOff>
    </xdr:from>
    <xdr:to>
      <xdr:col>2</xdr:col>
      <xdr:colOff>952500</xdr:colOff>
      <xdr:row>18</xdr:row>
      <xdr:rowOff>142875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H="1" flipV="1">
          <a:off x="2221707" y="3172620"/>
          <a:ext cx="3264693" cy="94218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1071563</xdr:colOff>
      <xdr:row>16</xdr:row>
      <xdr:rowOff>23812</xdr:rowOff>
    </xdr:from>
    <xdr:to>
      <xdr:col>4</xdr:col>
      <xdr:colOff>797718</xdr:colOff>
      <xdr:row>18</xdr:row>
      <xdr:rowOff>166687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5605463" y="3586162"/>
          <a:ext cx="2174080" cy="55245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71"/>
  <sheetViews>
    <sheetView tabSelected="1" topLeftCell="A22" zoomScale="90" zoomScaleNormal="90" workbookViewId="0">
      <selection activeCell="A24" sqref="A24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3" width="16" style="1" bestFit="1" customWidth="1"/>
    <col min="4" max="4" width="16.125" style="1" customWidth="1"/>
    <col min="5" max="5" width="14.125" style="1" customWidth="1"/>
    <col min="6" max="6" width="13.625" style="1" customWidth="1"/>
    <col min="7" max="7" width="14.875" style="1" customWidth="1"/>
    <col min="8" max="8" width="12.125" style="1" customWidth="1"/>
    <col min="9" max="15" width="10.625" style="1"/>
    <col min="16" max="16" width="12" style="1" bestFit="1" customWidth="1"/>
    <col min="17" max="18" width="10.625" style="1" customWidth="1"/>
    <col min="19" max="16384" width="10.625" style="1"/>
  </cols>
  <sheetData>
    <row r="2" spans="1:28" ht="26.25" x14ac:dyDescent="0.4">
      <c r="B2" s="39" t="s">
        <v>15</v>
      </c>
    </row>
    <row r="4" spans="1:28" x14ac:dyDescent="0.25">
      <c r="B4" s="29" t="s">
        <v>39</v>
      </c>
    </row>
    <row r="6" spans="1:28" x14ac:dyDescent="0.25">
      <c r="B6" s="1" t="s">
        <v>33</v>
      </c>
    </row>
    <row r="9" spans="1:28" s="8" customFormat="1" x14ac:dyDescent="0.25">
      <c r="H9" s="9" t="s">
        <v>13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5">
      <c r="A10" s="4"/>
      <c r="B10" s="4"/>
      <c r="C10" s="11">
        <v>2016</v>
      </c>
      <c r="D10" s="11">
        <v>2017</v>
      </c>
      <c r="E10" s="11">
        <v>2018</v>
      </c>
      <c r="F10" s="11">
        <v>2019</v>
      </c>
      <c r="G10" s="11">
        <v>2020</v>
      </c>
      <c r="H10" s="66">
        <v>2021</v>
      </c>
      <c r="I10" s="66">
        <v>2022</v>
      </c>
      <c r="J10" s="66">
        <v>2023</v>
      </c>
      <c r="K10" s="66">
        <v>2024</v>
      </c>
      <c r="L10" s="66">
        <v>2025</v>
      </c>
      <c r="M10" s="66">
        <v>2026</v>
      </c>
      <c r="N10" s="66">
        <v>2027</v>
      </c>
      <c r="O10" s="66">
        <v>2028</v>
      </c>
      <c r="P10" s="66">
        <v>2029</v>
      </c>
      <c r="Q10" s="66">
        <v>2030</v>
      </c>
      <c r="R10" s="65" t="s">
        <v>19</v>
      </c>
    </row>
    <row r="11" spans="1:28" x14ac:dyDescent="0.25">
      <c r="A11" s="5"/>
      <c r="B11" s="4" t="s">
        <v>5</v>
      </c>
      <c r="C11" s="86">
        <v>47.29</v>
      </c>
      <c r="D11" s="86">
        <v>49.96</v>
      </c>
      <c r="E11" s="86">
        <v>53.762</v>
      </c>
      <c r="F11" s="86">
        <v>59.811999999999998</v>
      </c>
      <c r="G11" s="86">
        <v>65.397999999999996</v>
      </c>
      <c r="H11" s="16">
        <v>67</v>
      </c>
      <c r="I11" s="16">
        <v>66</v>
      </c>
      <c r="J11" s="16">
        <f t="shared" ref="I11:L11" si="0">I11*(1+J12)</f>
        <v>67.649999999999991</v>
      </c>
      <c r="K11" s="16">
        <f t="shared" si="0"/>
        <v>69.67949999999999</v>
      </c>
      <c r="L11" s="16">
        <f t="shared" si="0"/>
        <v>71.769884999999988</v>
      </c>
      <c r="M11" s="16">
        <f>L11*(1+M12)</f>
        <v>68.899089599999982</v>
      </c>
      <c r="N11" s="16">
        <f t="shared" ref="N11:R11" si="1">M11*(1+N12)</f>
        <v>74.411016767999982</v>
      </c>
      <c r="O11" s="16">
        <f t="shared" si="1"/>
        <v>70.690465929599981</v>
      </c>
      <c r="P11" s="16">
        <f t="shared" si="1"/>
        <v>74.224989226079984</v>
      </c>
      <c r="Q11" s="16">
        <f t="shared" si="1"/>
        <v>77.936238687383991</v>
      </c>
      <c r="R11" s="16">
        <f t="shared" si="1"/>
        <v>79.884644654568589</v>
      </c>
    </row>
    <row r="12" spans="1:28" x14ac:dyDescent="0.25">
      <c r="A12" s="5"/>
      <c r="B12" s="4" t="s">
        <v>1</v>
      </c>
      <c r="C12" s="13"/>
      <c r="D12" s="13">
        <f t="shared" ref="D12:F12" si="2">D11/C11-1</f>
        <v>5.6460139564389999E-2</v>
      </c>
      <c r="E12" s="13">
        <f t="shared" si="2"/>
        <v>7.6100880704563556E-2</v>
      </c>
      <c r="F12" s="13">
        <f t="shared" si="2"/>
        <v>0.11253301588482567</v>
      </c>
      <c r="G12" s="13">
        <f>G11/F11-1</f>
        <v>9.3392630241423191E-2</v>
      </c>
      <c r="H12" s="67">
        <f t="shared" ref="H12:I12" si="3">H11/G11-1</f>
        <v>2.4496161962139551E-2</v>
      </c>
      <c r="I12" s="67">
        <f t="shared" si="3"/>
        <v>-1.4925373134328401E-2</v>
      </c>
      <c r="J12" s="88">
        <v>2.5000000000000001E-2</v>
      </c>
      <c r="K12" s="88">
        <v>0.03</v>
      </c>
      <c r="L12" s="88">
        <v>0.03</v>
      </c>
      <c r="M12" s="17">
        <v>-0.04</v>
      </c>
      <c r="N12" s="17">
        <v>0.08</v>
      </c>
      <c r="O12" s="17">
        <v>-0.05</v>
      </c>
      <c r="P12" s="17">
        <v>0.05</v>
      </c>
      <c r="Q12" s="17">
        <v>0.05</v>
      </c>
      <c r="R12" s="17">
        <v>2.5000000000000001E-2</v>
      </c>
    </row>
    <row r="13" spans="1:28" ht="15.95" customHeight="1" x14ac:dyDescent="0.25">
      <c r="A13" s="5"/>
      <c r="B13" s="4" t="s">
        <v>22</v>
      </c>
      <c r="C13" s="13">
        <f t="shared" ref="C13:H13" si="4">C14/C11</f>
        <v>0.12450835271727638</v>
      </c>
      <c r="D13" s="13">
        <f t="shared" si="4"/>
        <v>0.13498799039231385</v>
      </c>
      <c r="E13" s="13">
        <f t="shared" si="4"/>
        <v>0.13641605595029946</v>
      </c>
      <c r="F13" s="13">
        <f t="shared" si="4"/>
        <v>0.14286430816558551</v>
      </c>
      <c r="G13" s="13">
        <f t="shared" si="4"/>
        <v>0.13217529588060797</v>
      </c>
      <c r="H13" s="67">
        <v>0.12</v>
      </c>
      <c r="I13" s="67">
        <v>0.11</v>
      </c>
      <c r="J13" s="67">
        <v>0.13</v>
      </c>
      <c r="K13" s="67">
        <v>0.13</v>
      </c>
      <c r="L13" s="67">
        <v>0.13</v>
      </c>
      <c r="M13" s="67">
        <v>0.13</v>
      </c>
      <c r="N13" s="67">
        <v>0.16</v>
      </c>
      <c r="O13" s="67">
        <v>0.13</v>
      </c>
      <c r="P13" s="67">
        <v>0.16</v>
      </c>
      <c r="Q13" s="67">
        <v>0.16</v>
      </c>
      <c r="R13" s="67">
        <v>0.16</v>
      </c>
    </row>
    <row r="14" spans="1:28" ht="17.100000000000001" customHeight="1" x14ac:dyDescent="0.25">
      <c r="A14" s="5"/>
      <c r="B14" s="4" t="s">
        <v>23</v>
      </c>
      <c r="C14" s="12">
        <v>5.8879999999999999</v>
      </c>
      <c r="D14" s="12">
        <v>6.7439999999999998</v>
      </c>
      <c r="E14" s="12">
        <v>7.3339999999999996</v>
      </c>
      <c r="F14" s="12">
        <v>8.5449999999999999</v>
      </c>
      <c r="G14" s="12">
        <v>8.6440000000000001</v>
      </c>
      <c r="H14" s="16">
        <f>H11*H13</f>
        <v>8.0399999999999991</v>
      </c>
      <c r="I14" s="16">
        <f t="shared" ref="I14:R14" si="5">I11*I13</f>
        <v>7.26</v>
      </c>
      <c r="J14" s="16">
        <f t="shared" si="5"/>
        <v>8.7944999999999993</v>
      </c>
      <c r="K14" s="16">
        <f t="shared" si="5"/>
        <v>9.0583349999999996</v>
      </c>
      <c r="L14" s="16">
        <f t="shared" si="5"/>
        <v>9.3300850499999992</v>
      </c>
      <c r="M14" s="16">
        <f t="shared" si="5"/>
        <v>8.9568816479999978</v>
      </c>
      <c r="N14" s="16">
        <f t="shared" si="5"/>
        <v>11.905762682879997</v>
      </c>
      <c r="O14" s="16">
        <f>O11*O13</f>
        <v>9.1897605708479979</v>
      </c>
      <c r="P14" s="16">
        <f t="shared" si="5"/>
        <v>11.875998276172798</v>
      </c>
      <c r="Q14" s="16">
        <f t="shared" si="5"/>
        <v>12.469798189981439</v>
      </c>
      <c r="R14" s="16">
        <f t="shared" si="5"/>
        <v>12.781543144730975</v>
      </c>
    </row>
    <row r="15" spans="1:28" ht="16.5" thickBot="1" x14ac:dyDescent="0.3">
      <c r="A15" s="15">
        <v>0.25</v>
      </c>
      <c r="B15" s="4" t="s">
        <v>35</v>
      </c>
      <c r="C15" s="14">
        <v>5.173</v>
      </c>
      <c r="D15" s="12">
        <v>1.9630000000000001</v>
      </c>
      <c r="E15" s="12">
        <v>5.0460000000000003</v>
      </c>
      <c r="F15" s="12">
        <v>6.23</v>
      </c>
      <c r="G15" s="12">
        <v>6.8330000000000002</v>
      </c>
      <c r="H15" s="16">
        <f t="shared" ref="H15:K15" si="6">H14*(1-$A$15)</f>
        <v>6.0299999999999994</v>
      </c>
      <c r="I15" s="16">
        <f t="shared" si="6"/>
        <v>5.4450000000000003</v>
      </c>
      <c r="J15" s="16">
        <f t="shared" si="6"/>
        <v>6.5958749999999995</v>
      </c>
      <c r="K15" s="16">
        <f t="shared" si="6"/>
        <v>6.7937512499999997</v>
      </c>
      <c r="L15" s="16">
        <f t="shared" ref="K15:Q15" si="7">L14*(1-$A$15)</f>
        <v>6.997563787499999</v>
      </c>
      <c r="M15" s="16">
        <f t="shared" si="7"/>
        <v>6.7176612359999979</v>
      </c>
      <c r="N15" s="16">
        <f t="shared" si="7"/>
        <v>8.9293220121599983</v>
      </c>
      <c r="O15" s="16">
        <f t="shared" si="7"/>
        <v>6.8923204281359984</v>
      </c>
      <c r="P15" s="16">
        <f t="shared" si="7"/>
        <v>8.9069987071295991</v>
      </c>
      <c r="Q15" s="16">
        <f t="shared" si="7"/>
        <v>9.3523486424860796</v>
      </c>
      <c r="R15" s="16">
        <f>R14*(1-$A$15)</f>
        <v>9.5861573585482311</v>
      </c>
    </row>
    <row r="16" spans="1:28" ht="32.25" thickBot="1" x14ac:dyDescent="0.3">
      <c r="A16" s="18" t="s">
        <v>7</v>
      </c>
      <c r="B16" s="19"/>
      <c r="C16" s="20">
        <f t="shared" ref="C16:D16" si="8">C15/C14</f>
        <v>0.87856657608695654</v>
      </c>
      <c r="D16" s="20">
        <f t="shared" si="8"/>
        <v>0.29107354685646503</v>
      </c>
      <c r="E16" s="20">
        <f>E15/E14</f>
        <v>0.68802836105808574</v>
      </c>
      <c r="F16" s="20">
        <f>F15/F14</f>
        <v>0.72908133411351672</v>
      </c>
      <c r="G16" s="21">
        <f>G15/G14</f>
        <v>0.79049051365108747</v>
      </c>
      <c r="H16" s="21">
        <f t="shared" ref="H16:K16" si="9">H15/H14</f>
        <v>0.75</v>
      </c>
      <c r="I16" s="21">
        <f t="shared" si="9"/>
        <v>0.75000000000000011</v>
      </c>
      <c r="J16" s="21">
        <f t="shared" si="9"/>
        <v>0.75</v>
      </c>
      <c r="K16" s="21">
        <f t="shared" si="9"/>
        <v>0.75</v>
      </c>
    </row>
    <row r="17" spans="1:18" x14ac:dyDescent="0.25">
      <c r="A17" s="2"/>
      <c r="G17" s="6"/>
      <c r="H17" s="6"/>
      <c r="I17" s="6"/>
      <c r="J17" s="6"/>
      <c r="K17" s="6"/>
      <c r="L17" s="6"/>
      <c r="M17" s="6"/>
      <c r="N17" s="6"/>
      <c r="O17" s="6"/>
      <c r="P17" s="3"/>
      <c r="Q17" s="3"/>
      <c r="R17" s="3"/>
    </row>
    <row r="18" spans="1:18" ht="16.5" thickBot="1" x14ac:dyDescent="0.3">
      <c r="A18" s="2"/>
      <c r="G18" s="6"/>
      <c r="I18" s="6"/>
      <c r="J18" s="6"/>
      <c r="K18" s="6"/>
      <c r="L18" s="6"/>
      <c r="M18" s="6"/>
      <c r="N18" s="6"/>
      <c r="O18" s="6"/>
      <c r="P18" s="3"/>
      <c r="Q18" s="3"/>
      <c r="R18" s="3"/>
    </row>
    <row r="19" spans="1:18" ht="16.5" thickBot="1" x14ac:dyDescent="0.3">
      <c r="A19" s="2"/>
      <c r="F19" s="61" t="s">
        <v>17</v>
      </c>
      <c r="G19" s="62"/>
      <c r="H19" s="63">
        <f>H15/(1+$C$55)</f>
        <v>5.4818181818181806</v>
      </c>
      <c r="I19" s="63">
        <f>I15/(1+$C$55)^2</f>
        <v>4.4999999999999991</v>
      </c>
      <c r="J19" s="63">
        <f>J15/(1+$C$55)^3</f>
        <v>4.9555785123966922</v>
      </c>
      <c r="K19" s="63">
        <f>K15/(1+$C$55)^4</f>
        <v>4.6402235161532666</v>
      </c>
      <c r="L19" s="63">
        <f>L15/(1+$C$55)^5</f>
        <v>4.3449365651253311</v>
      </c>
      <c r="M19" s="63">
        <f>M15/(1+$C$55)^6</f>
        <v>3.791944638654833</v>
      </c>
      <c r="N19" s="63">
        <f>N15/(1+$C$55)^7</f>
        <v>4.5821540808360499</v>
      </c>
      <c r="O19" s="63">
        <f>O15/(1+$C$55)^8</f>
        <v>3.2153183464957511</v>
      </c>
      <c r="P19" s="63">
        <f>P15/(1+$C$55)^9</f>
        <v>3.7774369385404629</v>
      </c>
      <c r="Q19" s="63">
        <f>Q15/(1+$C$55)^10</f>
        <v>3.6057352595158965</v>
      </c>
      <c r="R19" s="64">
        <f>(R15/(C55-R12))/(1+C55)^10</f>
        <v>49.278381880050588</v>
      </c>
    </row>
    <row r="20" spans="1:18" x14ac:dyDescent="0.25">
      <c r="A20" s="2"/>
      <c r="C20" s="85">
        <v>0.25</v>
      </c>
      <c r="G20" s="6"/>
      <c r="H20" s="7"/>
      <c r="I20" s="6"/>
      <c r="J20" s="6"/>
      <c r="K20" s="6"/>
      <c r="L20" s="6"/>
      <c r="M20" s="6"/>
      <c r="N20" s="6"/>
      <c r="O20" s="6"/>
      <c r="P20" s="3"/>
      <c r="Q20" s="3"/>
      <c r="R20" s="3"/>
    </row>
    <row r="21" spans="1:18" x14ac:dyDescent="0.25">
      <c r="A21" s="2"/>
      <c r="P21" s="3"/>
      <c r="Q21" s="3"/>
      <c r="R21" s="3"/>
    </row>
    <row r="22" spans="1:18" ht="16.5" thickBot="1" x14ac:dyDescent="0.3">
      <c r="P22" s="3"/>
      <c r="Q22" s="3"/>
      <c r="R22" s="3"/>
    </row>
    <row r="23" spans="1:18" x14ac:dyDescent="0.25">
      <c r="A23" s="40" t="s">
        <v>42</v>
      </c>
      <c r="B23" s="41"/>
      <c r="C23" s="41"/>
      <c r="D23" s="42"/>
      <c r="E23" s="30"/>
      <c r="F23" s="41"/>
      <c r="G23" s="30"/>
      <c r="H23" s="30"/>
      <c r="I23" s="30"/>
      <c r="J23" s="31"/>
    </row>
    <row r="24" spans="1:18" x14ac:dyDescent="0.25">
      <c r="A24" s="43"/>
      <c r="B24" s="44"/>
      <c r="C24" s="44"/>
      <c r="D24" s="45"/>
      <c r="E24" s="44"/>
      <c r="F24" s="44"/>
      <c r="G24" s="33"/>
      <c r="H24" s="33"/>
      <c r="I24" s="33"/>
      <c r="J24" s="34"/>
    </row>
    <row r="25" spans="1:18" x14ac:dyDescent="0.25">
      <c r="A25" s="43" t="s">
        <v>9</v>
      </c>
      <c r="B25" s="44" t="s">
        <v>36</v>
      </c>
      <c r="C25" s="44"/>
      <c r="D25" s="46">
        <v>7.4999999999999997E-2</v>
      </c>
      <c r="E25" s="33"/>
      <c r="F25" s="44"/>
      <c r="G25" s="33"/>
      <c r="H25" s="33"/>
      <c r="I25" s="33"/>
      <c r="J25" s="34"/>
    </row>
    <row r="26" spans="1:18" x14ac:dyDescent="0.25">
      <c r="A26" s="43"/>
      <c r="B26" s="44" t="s">
        <v>20</v>
      </c>
      <c r="C26" s="44"/>
      <c r="D26" s="46">
        <v>0.01</v>
      </c>
      <c r="E26" s="33" t="s">
        <v>38</v>
      </c>
      <c r="F26" s="44"/>
      <c r="G26" s="33"/>
      <c r="H26" s="33"/>
      <c r="I26" s="33"/>
      <c r="J26" s="34"/>
    </row>
    <row r="27" spans="1:18" x14ac:dyDescent="0.25">
      <c r="A27" s="43"/>
      <c r="B27" s="44"/>
      <c r="C27" s="44"/>
      <c r="D27" s="46"/>
      <c r="E27" s="33"/>
      <c r="F27" s="44"/>
      <c r="G27" s="33"/>
      <c r="H27" s="33"/>
      <c r="I27" s="33"/>
      <c r="J27" s="34"/>
    </row>
    <row r="28" spans="1:18" x14ac:dyDescent="0.25">
      <c r="A28" s="43"/>
      <c r="B28" s="44"/>
      <c r="C28" s="44"/>
      <c r="D28" s="47"/>
      <c r="E28" s="33"/>
      <c r="F28" s="44"/>
      <c r="G28" s="33"/>
      <c r="H28" s="33"/>
      <c r="I28" s="33"/>
      <c r="J28" s="34"/>
    </row>
    <row r="29" spans="1:18" x14ac:dyDescent="0.25">
      <c r="A29" s="43"/>
      <c r="B29" s="44"/>
      <c r="C29" s="44"/>
      <c r="D29" s="47"/>
      <c r="E29" s="33"/>
      <c r="F29" s="44"/>
      <c r="G29" s="33"/>
      <c r="H29" s="33"/>
      <c r="I29" s="33"/>
      <c r="J29" s="34"/>
    </row>
    <row r="30" spans="1:18" x14ac:dyDescent="0.25">
      <c r="A30" s="43"/>
      <c r="B30" s="44" t="s">
        <v>10</v>
      </c>
      <c r="C30" s="44"/>
      <c r="D30" s="48">
        <f>D25+D26+D27</f>
        <v>8.4999999999999992E-2</v>
      </c>
      <c r="E30" s="33"/>
      <c r="F30" s="44"/>
      <c r="G30" s="33"/>
      <c r="H30" s="33"/>
      <c r="I30" s="33"/>
      <c r="J30" s="34"/>
    </row>
    <row r="31" spans="1:18" x14ac:dyDescent="0.25">
      <c r="A31" s="43"/>
      <c r="B31" s="44"/>
      <c r="C31" s="44"/>
      <c r="D31" s="45"/>
      <c r="E31" s="33"/>
      <c r="F31" s="44"/>
      <c r="G31" s="33"/>
      <c r="H31" s="33"/>
      <c r="I31" s="33"/>
      <c r="J31" s="34"/>
    </row>
    <row r="32" spans="1:18" x14ac:dyDescent="0.25">
      <c r="A32" s="32"/>
      <c r="B32" s="33"/>
      <c r="C32" s="49"/>
      <c r="D32" s="33"/>
      <c r="E32" s="44"/>
      <c r="F32" s="44"/>
      <c r="G32" s="33"/>
      <c r="H32" s="33"/>
      <c r="I32" s="33"/>
      <c r="J32" s="34"/>
    </row>
    <row r="33" spans="1:10" x14ac:dyDescent="0.25">
      <c r="A33" s="32"/>
      <c r="B33" s="33"/>
      <c r="C33" s="33"/>
      <c r="D33" s="33"/>
      <c r="E33" s="33"/>
      <c r="F33" s="33"/>
      <c r="G33" s="33"/>
      <c r="H33" s="33"/>
      <c r="I33" s="33"/>
      <c r="J33" s="34"/>
    </row>
    <row r="34" spans="1:10" x14ac:dyDescent="0.25">
      <c r="A34" s="43" t="s">
        <v>11</v>
      </c>
      <c r="B34" s="44"/>
      <c r="C34" s="50"/>
      <c r="D34" s="35">
        <v>1.4999999999999999E-2</v>
      </c>
      <c r="E34" s="33" t="s">
        <v>37</v>
      </c>
      <c r="F34" s="33"/>
      <c r="G34" s="33"/>
      <c r="H34" s="33"/>
      <c r="I34" s="33"/>
      <c r="J34" s="34"/>
    </row>
    <row r="35" spans="1:10" ht="15.75" hidden="1" customHeight="1" x14ac:dyDescent="0.25">
      <c r="A35" s="32"/>
      <c r="B35" s="33"/>
      <c r="C35" s="33"/>
      <c r="D35" s="33"/>
      <c r="E35" s="33"/>
      <c r="F35" s="33"/>
      <c r="G35" s="33"/>
      <c r="H35" s="33"/>
      <c r="I35" s="33"/>
      <c r="J35" s="34"/>
    </row>
    <row r="36" spans="1:10" ht="15.75" hidden="1" customHeight="1" x14ac:dyDescent="0.25">
      <c r="A36" s="32"/>
      <c r="B36" s="33" t="s">
        <v>12</v>
      </c>
      <c r="C36" s="33"/>
      <c r="D36" s="51">
        <v>0.08</v>
      </c>
      <c r="E36" s="33"/>
      <c r="F36" s="33"/>
      <c r="G36" s="33"/>
      <c r="H36" s="33"/>
      <c r="I36" s="33"/>
      <c r="J36" s="34"/>
    </row>
    <row r="37" spans="1:10" ht="15.75" hidden="1" customHeight="1" x14ac:dyDescent="0.25">
      <c r="A37" s="32"/>
      <c r="B37" s="33"/>
      <c r="C37" s="33"/>
      <c r="D37" s="33"/>
      <c r="E37" s="33"/>
      <c r="F37" s="33"/>
      <c r="G37" s="33"/>
      <c r="H37" s="33"/>
      <c r="I37" s="33"/>
      <c r="J37" s="34"/>
    </row>
    <row r="38" spans="1:10" ht="15.75" hidden="1" customHeight="1" x14ac:dyDescent="0.25">
      <c r="A38" s="32"/>
      <c r="B38" s="33"/>
      <c r="C38" s="33"/>
      <c r="D38" s="33"/>
      <c r="E38" s="33"/>
      <c r="F38" s="33"/>
      <c r="G38" s="33"/>
      <c r="H38" s="33"/>
      <c r="I38" s="33"/>
      <c r="J38" s="34"/>
    </row>
    <row r="39" spans="1:10" ht="15.75" hidden="1" customHeight="1" x14ac:dyDescent="0.25">
      <c r="A39" s="32"/>
      <c r="B39" s="33"/>
      <c r="C39" s="33"/>
      <c r="D39" s="33"/>
      <c r="E39" s="33"/>
      <c r="F39" s="33"/>
      <c r="G39" s="33"/>
      <c r="H39" s="33"/>
      <c r="I39" s="33"/>
      <c r="J39" s="34"/>
    </row>
    <row r="40" spans="1:10" hidden="1" x14ac:dyDescent="0.25">
      <c r="A40" s="32"/>
      <c r="B40" s="52"/>
      <c r="C40" s="52">
        <v>0.12</v>
      </c>
      <c r="D40" s="52" t="e">
        <f>((NPV(C40,$H$15:$R$15)+(#REF!*(1+#REF!)/(C40-#REF!))/(1+C40)^(2040-2020))/$D$50)/$C$51-1</f>
        <v>#REF!</v>
      </c>
      <c r="E40" s="33"/>
      <c r="F40" s="33"/>
      <c r="G40" s="33"/>
      <c r="H40" s="33"/>
      <c r="I40" s="33"/>
      <c r="J40" s="34"/>
    </row>
    <row r="41" spans="1:10" hidden="1" x14ac:dyDescent="0.25">
      <c r="A41" s="32"/>
      <c r="B41" s="52"/>
      <c r="C41" s="52">
        <v>0.14000000000000001</v>
      </c>
      <c r="D41" s="52" t="e">
        <f>((NPV(C41,$H$15:$R$15)+(#REF!*(1+#REF!)/(C41-#REF!))/(1+C41)^(2040-2020))/$D$50)/$C$51-1</f>
        <v>#REF!</v>
      </c>
      <c r="E41" s="33"/>
      <c r="F41" s="33"/>
      <c r="G41" s="33"/>
      <c r="H41" s="33"/>
      <c r="I41" s="33"/>
      <c r="J41" s="34"/>
    </row>
    <row r="42" spans="1:10" hidden="1" x14ac:dyDescent="0.25">
      <c r="A42" s="32"/>
      <c r="B42" s="52"/>
      <c r="C42" s="52">
        <v>0.16</v>
      </c>
      <c r="D42" s="52" t="e">
        <f>((NPV(C42,$H$15:$R$15)+(#REF!*(1+#REF!)/(C42-#REF!))/(1+C42)^(2040-2020))/$D$50)/$C$51-1</f>
        <v>#REF!</v>
      </c>
      <c r="E42" s="33"/>
      <c r="F42" s="33"/>
      <c r="G42" s="33"/>
      <c r="H42" s="33"/>
      <c r="I42" s="33"/>
      <c r="J42" s="34"/>
    </row>
    <row r="43" spans="1:10" hidden="1" x14ac:dyDescent="0.25">
      <c r="A43" s="32"/>
      <c r="B43" s="52"/>
      <c r="C43" s="52">
        <v>0.18</v>
      </c>
      <c r="D43" s="52" t="e">
        <f>((NPV(C43,$H$15:$R$15)+(#REF!*(1+#REF!)/(C43-#REF!))/(1+C43)^(2040-2020))/$D$50)/$C$51-1</f>
        <v>#REF!</v>
      </c>
      <c r="E43" s="33"/>
      <c r="F43" s="33"/>
      <c r="G43" s="33"/>
      <c r="H43" s="33"/>
      <c r="I43" s="33"/>
      <c r="J43" s="34"/>
    </row>
    <row r="44" spans="1:10" hidden="1" x14ac:dyDescent="0.25">
      <c r="A44" s="32"/>
      <c r="B44" s="52"/>
      <c r="C44" s="52">
        <v>0.2</v>
      </c>
      <c r="D44" s="52" t="e">
        <f>((NPV(C44,$H$15:$R$15)+(#REF!*(1+#REF!)/(C44-#REF!))/(1+C44)^(2040-2020))/$D$50)/$C$51-1</f>
        <v>#REF!</v>
      </c>
      <c r="E44" s="33"/>
      <c r="F44" s="33"/>
      <c r="G44" s="33"/>
      <c r="H44" s="33"/>
      <c r="I44" s="33"/>
      <c r="J44" s="34"/>
    </row>
    <row r="45" spans="1:10" x14ac:dyDescent="0.25">
      <c r="A45" s="32"/>
      <c r="B45" s="33"/>
      <c r="C45" s="33"/>
      <c r="D45" s="33"/>
      <c r="E45" s="33"/>
      <c r="F45" s="33"/>
      <c r="G45" s="33"/>
      <c r="H45" s="33"/>
      <c r="I45" s="33"/>
      <c r="J45" s="34"/>
    </row>
    <row r="46" spans="1:10" ht="16.5" thickBot="1" x14ac:dyDescent="0.3">
      <c r="A46" s="36"/>
      <c r="B46" s="37" t="s">
        <v>14</v>
      </c>
      <c r="C46" s="37"/>
      <c r="D46" s="53">
        <f>D30+D34</f>
        <v>9.9999999999999992E-2</v>
      </c>
      <c r="E46" s="37"/>
      <c r="F46" s="37"/>
      <c r="G46" s="37"/>
      <c r="H46" s="37"/>
      <c r="I46" s="37"/>
      <c r="J46" s="38"/>
    </row>
    <row r="48" spans="1:10" x14ac:dyDescent="0.25">
      <c r="A48" s="22"/>
      <c r="B48" s="23"/>
      <c r="C48" s="24">
        <v>44495</v>
      </c>
      <c r="D48" s="25" t="s">
        <v>3</v>
      </c>
      <c r="E48" s="26"/>
      <c r="F48" s="27"/>
      <c r="G48" s="28"/>
      <c r="H48" s="28"/>
      <c r="I48" s="28"/>
    </row>
    <row r="49" spans="1:6" x14ac:dyDescent="0.25">
      <c r="A49" s="54" t="s">
        <v>0</v>
      </c>
      <c r="B49" s="55" t="s">
        <v>6</v>
      </c>
      <c r="C49" s="56">
        <f>C50*C51</f>
        <v>93043.775999999998</v>
      </c>
      <c r="D49" s="57">
        <f>SUM(H19:R19)*1000</f>
        <v>92173.527919587039</v>
      </c>
      <c r="E49" s="55" t="s">
        <v>34</v>
      </c>
    </row>
    <row r="50" spans="1:6" x14ac:dyDescent="0.25">
      <c r="A50" s="54"/>
      <c r="B50" s="55" t="s">
        <v>16</v>
      </c>
      <c r="C50" s="87">
        <v>276.916</v>
      </c>
      <c r="D50" s="56">
        <f>C50*0.95</f>
        <v>263.0702</v>
      </c>
      <c r="E50" s="55"/>
      <c r="F50" s="1" t="s">
        <v>40</v>
      </c>
    </row>
    <row r="51" spans="1:6" x14ac:dyDescent="0.25">
      <c r="A51" s="54"/>
      <c r="B51" s="55" t="s">
        <v>18</v>
      </c>
      <c r="C51" s="68">
        <v>336</v>
      </c>
      <c r="D51" s="68">
        <f>D49/(D50)</f>
        <v>350.37616544780457</v>
      </c>
      <c r="E51" s="55" t="s">
        <v>34</v>
      </c>
    </row>
    <row r="52" spans="1:6" x14ac:dyDescent="0.25">
      <c r="A52" s="54"/>
      <c r="B52" s="55" t="s">
        <v>2</v>
      </c>
      <c r="C52" s="55"/>
      <c r="D52" s="69">
        <f>IF(C51/D51-1&gt;0,0,C51/D51-1)</f>
        <v>-4.103066037448877E-2</v>
      </c>
      <c r="E52" s="55"/>
    </row>
    <row r="53" spans="1:6" x14ac:dyDescent="0.25">
      <c r="A53" s="54"/>
      <c r="B53" s="55" t="s">
        <v>21</v>
      </c>
      <c r="C53" s="55"/>
      <c r="D53" s="70">
        <f>IF(C51/D51-1&lt;0,0,C51/D51-1)</f>
        <v>0</v>
      </c>
      <c r="E53" s="55"/>
    </row>
    <row r="54" spans="1:6" x14ac:dyDescent="0.25">
      <c r="A54" s="55"/>
      <c r="B54" s="55"/>
      <c r="C54" s="55"/>
      <c r="D54" s="58"/>
      <c r="E54" s="58"/>
    </row>
    <row r="55" spans="1:6" x14ac:dyDescent="0.25">
      <c r="A55" s="58" t="s">
        <v>41</v>
      </c>
      <c r="B55" s="55"/>
      <c r="C55" s="60">
        <f>D46</f>
        <v>9.9999999999999992E-2</v>
      </c>
      <c r="D55" s="59"/>
      <c r="E55" s="55"/>
    </row>
    <row r="56" spans="1:6" ht="16.5" thickBot="1" x14ac:dyDescent="0.3">
      <c r="A56" s="29"/>
      <c r="C56" s="79"/>
      <c r="D56" s="80"/>
    </row>
    <row r="57" spans="1:6" x14ac:dyDescent="0.25">
      <c r="A57" s="71" t="s">
        <v>31</v>
      </c>
      <c r="B57" s="30"/>
      <c r="C57" s="82">
        <v>18</v>
      </c>
      <c r="D57" s="30"/>
      <c r="E57" s="31"/>
    </row>
    <row r="58" spans="1:6" x14ac:dyDescent="0.25">
      <c r="A58" s="32"/>
      <c r="B58" s="33"/>
      <c r="C58" s="83"/>
      <c r="D58" s="33"/>
      <c r="E58" s="34"/>
    </row>
    <row r="59" spans="1:6" x14ac:dyDescent="0.25">
      <c r="A59" s="32" t="s">
        <v>24</v>
      </c>
      <c r="B59" s="33"/>
      <c r="C59" s="83"/>
      <c r="D59" s="33"/>
      <c r="E59" s="72">
        <f>R15*C57*1000</f>
        <v>172550.83245386818</v>
      </c>
    </row>
    <row r="60" spans="1:6" x14ac:dyDescent="0.25">
      <c r="A60" s="32"/>
      <c r="B60" s="33"/>
      <c r="C60" s="83"/>
      <c r="D60" s="33"/>
      <c r="E60" s="34"/>
    </row>
    <row r="61" spans="1:6" x14ac:dyDescent="0.25">
      <c r="A61" s="32" t="s">
        <v>25</v>
      </c>
      <c r="B61" s="33"/>
      <c r="C61" s="84">
        <v>0.5</v>
      </c>
      <c r="D61" s="33"/>
      <c r="E61" s="34"/>
    </row>
    <row r="62" spans="1:6" x14ac:dyDescent="0.25">
      <c r="A62" s="32"/>
      <c r="B62" s="33"/>
      <c r="C62" s="33"/>
      <c r="D62" s="33"/>
      <c r="E62" s="34"/>
    </row>
    <row r="63" spans="1:6" x14ac:dyDescent="0.25">
      <c r="A63" s="32" t="s">
        <v>26</v>
      </c>
      <c r="B63" s="33"/>
      <c r="C63" s="33"/>
      <c r="D63" s="33"/>
      <c r="E63" s="72">
        <f>SUM(H15:R15)*C61*1000</f>
        <v>41123.49921097995</v>
      </c>
    </row>
    <row r="64" spans="1:6" x14ac:dyDescent="0.25">
      <c r="A64" s="32"/>
      <c r="B64" s="33"/>
      <c r="C64" s="33"/>
      <c r="D64" s="33"/>
      <c r="E64" s="73"/>
    </row>
    <row r="65" spans="1:5" x14ac:dyDescent="0.25">
      <c r="A65" s="74" t="s">
        <v>27</v>
      </c>
      <c r="B65" s="33"/>
      <c r="C65" s="33"/>
      <c r="D65" s="33"/>
      <c r="E65" s="75">
        <f>(E63*0.25)*-1</f>
        <v>-10280.874802744987</v>
      </c>
    </row>
    <row r="66" spans="1:5" x14ac:dyDescent="0.25">
      <c r="A66" s="32"/>
      <c r="B66" s="33"/>
      <c r="C66" s="52"/>
      <c r="D66" s="52"/>
      <c r="E66" s="76"/>
    </row>
    <row r="67" spans="1:5" x14ac:dyDescent="0.25">
      <c r="A67" s="32" t="s">
        <v>28</v>
      </c>
      <c r="B67" s="33"/>
      <c r="C67" s="33"/>
      <c r="D67" s="33"/>
      <c r="E67" s="72">
        <f>SUM(E59:E65)</f>
        <v>203393.45686210316</v>
      </c>
    </row>
    <row r="68" spans="1:5" x14ac:dyDescent="0.25">
      <c r="A68" s="32"/>
      <c r="B68" s="33"/>
      <c r="C68" s="33"/>
      <c r="D68" s="33"/>
      <c r="E68" s="72"/>
    </row>
    <row r="69" spans="1:5" x14ac:dyDescent="0.25">
      <c r="A69" s="32" t="s">
        <v>29</v>
      </c>
      <c r="B69" s="33"/>
      <c r="C69" s="33"/>
      <c r="D69" s="33"/>
      <c r="E69" s="76">
        <f>E67/C49-1</f>
        <v>1.1859974477186221</v>
      </c>
    </row>
    <row r="70" spans="1:5" x14ac:dyDescent="0.25">
      <c r="A70" s="32"/>
      <c r="B70" s="33"/>
      <c r="C70" s="33"/>
      <c r="D70" s="33"/>
      <c r="E70" s="34"/>
    </row>
    <row r="71" spans="1:5" ht="16.5" thickBot="1" x14ac:dyDescent="0.3">
      <c r="A71" s="77" t="s">
        <v>30</v>
      </c>
      <c r="B71" s="78"/>
      <c r="C71" s="78"/>
      <c r="D71" s="78"/>
      <c r="E71" s="81">
        <f>(E67/C49)^(1/10)-1</f>
        <v>8.1346714520930341E-2</v>
      </c>
    </row>
  </sheetData>
  <conditionalFormatting sqref="L6:L8">
    <cfRule type="top10" dxfId="3" priority="6" percent="1" rank="10"/>
  </conditionalFormatting>
  <conditionalFormatting sqref="G6:J8">
    <cfRule type="top10" dxfId="2" priority="5" percent="1" rank="10"/>
  </conditionalFormatting>
  <conditionalFormatting sqref="L9">
    <cfRule type="top10" dxfId="1" priority="4" percent="1" rank="10"/>
  </conditionalFormatting>
  <conditionalFormatting sqref="L2:L5">
    <cfRule type="top10" dxfId="0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71"/>
  <sheetViews>
    <sheetView topLeftCell="A4" zoomScale="90" zoomScaleNormal="90" workbookViewId="0">
      <selection activeCell="I11" sqref="I11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3" width="16" style="1" bestFit="1" customWidth="1"/>
    <col min="4" max="4" width="16.125" style="1" customWidth="1"/>
    <col min="5" max="5" width="14.125" style="1" customWidth="1"/>
    <col min="6" max="6" width="13.625" style="1" customWidth="1"/>
    <col min="7" max="7" width="14.875" style="1" customWidth="1"/>
    <col min="8" max="8" width="12.125" style="1" customWidth="1"/>
    <col min="9" max="15" width="10.625" style="1"/>
    <col min="16" max="16" width="12" style="1" bestFit="1" customWidth="1"/>
    <col min="17" max="18" width="10.625" style="1" customWidth="1"/>
    <col min="19" max="16384" width="10.625" style="1"/>
  </cols>
  <sheetData>
    <row r="2" spans="1:28" ht="26.25" x14ac:dyDescent="0.4">
      <c r="B2" s="39" t="s">
        <v>15</v>
      </c>
    </row>
    <row r="4" spans="1:28" x14ac:dyDescent="0.25">
      <c r="B4" s="29" t="s">
        <v>39</v>
      </c>
    </row>
    <row r="6" spans="1:28" x14ac:dyDescent="0.25">
      <c r="B6" s="1" t="s">
        <v>33</v>
      </c>
    </row>
    <row r="9" spans="1:28" s="8" customFormat="1" x14ac:dyDescent="0.25">
      <c r="H9" s="9" t="s">
        <v>13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5">
      <c r="A10" s="4"/>
      <c r="B10" s="4"/>
      <c r="C10" s="11">
        <v>2016</v>
      </c>
      <c r="D10" s="11">
        <v>2017</v>
      </c>
      <c r="E10" s="11">
        <v>2018</v>
      </c>
      <c r="F10" s="11">
        <v>2019</v>
      </c>
      <c r="G10" s="11">
        <v>2020</v>
      </c>
      <c r="H10" s="66">
        <v>2021</v>
      </c>
      <c r="I10" s="66">
        <v>2022</v>
      </c>
      <c r="J10" s="66">
        <v>2023</v>
      </c>
      <c r="K10" s="66">
        <v>2024</v>
      </c>
      <c r="L10" s="66">
        <v>2025</v>
      </c>
      <c r="M10" s="66">
        <v>2026</v>
      </c>
      <c r="N10" s="66">
        <v>2027</v>
      </c>
      <c r="O10" s="66">
        <v>2028</v>
      </c>
      <c r="P10" s="66">
        <v>2029</v>
      </c>
      <c r="Q10" s="66">
        <v>2030</v>
      </c>
      <c r="R10" s="65" t="s">
        <v>19</v>
      </c>
    </row>
    <row r="11" spans="1:28" x14ac:dyDescent="0.25">
      <c r="A11" s="5"/>
      <c r="B11" s="4" t="s">
        <v>5</v>
      </c>
      <c r="C11" s="86">
        <v>47.29</v>
      </c>
      <c r="D11" s="86">
        <v>49.96</v>
      </c>
      <c r="E11" s="86">
        <v>53.762</v>
      </c>
      <c r="F11" s="86">
        <v>59.811999999999998</v>
      </c>
      <c r="G11" s="86">
        <v>65.397999999999996</v>
      </c>
      <c r="H11" s="16">
        <v>68.290000000000006</v>
      </c>
      <c r="I11" s="16">
        <f t="shared" ref="I11" si="0">H11*(1+I12)</f>
        <v>69.997249999999994</v>
      </c>
      <c r="J11" s="16">
        <f t="shared" ref="J11" si="1">I11*(1+J12)</f>
        <v>71.747181249999983</v>
      </c>
      <c r="K11" s="16">
        <f t="shared" ref="K11:L11" si="2">J11*(1+K12)</f>
        <v>74.617068499999988</v>
      </c>
      <c r="L11" s="16">
        <f t="shared" si="2"/>
        <v>77.601751239999984</v>
      </c>
      <c r="M11" s="16">
        <f>L11*(1+M12)</f>
        <v>73.721663677999985</v>
      </c>
      <c r="N11" s="16">
        <f t="shared" ref="N11:R11" si="3">M11*(1+N12)</f>
        <v>79.619396772239995</v>
      </c>
      <c r="O11" s="16">
        <f t="shared" si="3"/>
        <v>75.638426933627997</v>
      </c>
      <c r="P11" s="16">
        <f t="shared" si="3"/>
        <v>79.420348280309398</v>
      </c>
      <c r="Q11" s="16">
        <f t="shared" si="3"/>
        <v>83.391365694324875</v>
      </c>
      <c r="R11" s="16">
        <f t="shared" si="3"/>
        <v>85.476149836682993</v>
      </c>
    </row>
    <row r="12" spans="1:28" x14ac:dyDescent="0.25">
      <c r="A12" s="5"/>
      <c r="B12" s="4" t="s">
        <v>1</v>
      </c>
      <c r="C12" s="13"/>
      <c r="D12" s="13">
        <f t="shared" ref="D12:F12" si="4">D11/C11-1</f>
        <v>5.6460139564389999E-2</v>
      </c>
      <c r="E12" s="13">
        <f t="shared" si="4"/>
        <v>7.6100880704563556E-2</v>
      </c>
      <c r="F12" s="13">
        <f t="shared" si="4"/>
        <v>0.11253301588482567</v>
      </c>
      <c r="G12" s="13">
        <f>G11/F11-1</f>
        <v>9.3392630241423191E-2</v>
      </c>
      <c r="H12" s="88">
        <f>H11/G11-1</f>
        <v>4.4221535826783898E-2</v>
      </c>
      <c r="I12" s="88">
        <v>2.5000000000000001E-2</v>
      </c>
      <c r="J12" s="88">
        <v>2.5000000000000001E-2</v>
      </c>
      <c r="K12" s="88">
        <v>0.04</v>
      </c>
      <c r="L12" s="88">
        <v>0.04</v>
      </c>
      <c r="M12" s="17">
        <v>-0.05</v>
      </c>
      <c r="N12" s="17">
        <v>0.08</v>
      </c>
      <c r="O12" s="17">
        <v>-0.05</v>
      </c>
      <c r="P12" s="17">
        <v>0.05</v>
      </c>
      <c r="Q12" s="17">
        <v>0.05</v>
      </c>
      <c r="R12" s="17">
        <v>2.5000000000000001E-2</v>
      </c>
    </row>
    <row r="13" spans="1:28" ht="15.95" customHeight="1" x14ac:dyDescent="0.25">
      <c r="A13" s="5"/>
      <c r="B13" s="4" t="s">
        <v>22</v>
      </c>
      <c r="C13" s="13">
        <f t="shared" ref="C13:H13" si="5">C14/C11</f>
        <v>0.12450835271727638</v>
      </c>
      <c r="D13" s="13">
        <f t="shared" si="5"/>
        <v>0.13498799039231385</v>
      </c>
      <c r="E13" s="13">
        <f t="shared" si="5"/>
        <v>0.13641605595029946</v>
      </c>
      <c r="F13" s="13">
        <f t="shared" si="5"/>
        <v>0.14286430816558551</v>
      </c>
      <c r="G13" s="13">
        <f t="shared" si="5"/>
        <v>0.13217529588060797</v>
      </c>
      <c r="H13" s="67">
        <f t="shared" si="5"/>
        <v>0.13369453799970712</v>
      </c>
      <c r="I13" s="67">
        <v>0.13</v>
      </c>
      <c r="J13" s="67">
        <v>0.13</v>
      </c>
      <c r="K13" s="67">
        <v>0.13</v>
      </c>
      <c r="L13" s="67">
        <v>0.15</v>
      </c>
      <c r="M13" s="67">
        <v>0.13</v>
      </c>
      <c r="N13" s="67">
        <v>0.16</v>
      </c>
      <c r="O13" s="67">
        <v>0.13</v>
      </c>
      <c r="P13" s="67">
        <v>0.16</v>
      </c>
      <c r="Q13" s="67">
        <v>0.16</v>
      </c>
      <c r="R13" s="67">
        <v>0.16</v>
      </c>
    </row>
    <row r="14" spans="1:28" ht="17.100000000000001" customHeight="1" x14ac:dyDescent="0.25">
      <c r="A14" s="5"/>
      <c r="B14" s="4" t="s">
        <v>23</v>
      </c>
      <c r="C14" s="12">
        <v>5.8879999999999999</v>
      </c>
      <c r="D14" s="12">
        <v>6.7439999999999998</v>
      </c>
      <c r="E14" s="12">
        <v>7.3339999999999996</v>
      </c>
      <c r="F14" s="12">
        <v>8.5449999999999999</v>
      </c>
      <c r="G14" s="12">
        <v>8.6440000000000001</v>
      </c>
      <c r="H14" s="16">
        <v>9.1300000000000008</v>
      </c>
      <c r="I14" s="16">
        <f t="shared" ref="I14:K14" si="6">I11*I13</f>
        <v>9.0996424999999999</v>
      </c>
      <c r="J14" s="16">
        <f t="shared" si="6"/>
        <v>9.3271335624999985</v>
      </c>
      <c r="K14" s="16">
        <f t="shared" si="6"/>
        <v>9.7002189049999981</v>
      </c>
      <c r="L14" s="16">
        <f t="shared" ref="L14:R14" si="7">L11*L13</f>
        <v>11.640262685999998</v>
      </c>
      <c r="M14" s="16">
        <f t="shared" si="7"/>
        <v>9.5838162781399987</v>
      </c>
      <c r="N14" s="16">
        <f t="shared" si="7"/>
        <v>12.739103483558399</v>
      </c>
      <c r="O14" s="16">
        <f>O11*O13</f>
        <v>9.8329955013716397</v>
      </c>
      <c r="P14" s="16">
        <f t="shared" si="7"/>
        <v>12.707255724849503</v>
      </c>
      <c r="Q14" s="16">
        <f t="shared" si="7"/>
        <v>13.342618511091981</v>
      </c>
      <c r="R14" s="16">
        <f t="shared" si="7"/>
        <v>13.676183973869279</v>
      </c>
    </row>
    <row r="15" spans="1:28" ht="16.5" thickBot="1" x14ac:dyDescent="0.3">
      <c r="A15" s="15">
        <v>0.25</v>
      </c>
      <c r="B15" s="4" t="s">
        <v>35</v>
      </c>
      <c r="C15" s="14">
        <v>5.173</v>
      </c>
      <c r="D15" s="12">
        <v>1.9630000000000001</v>
      </c>
      <c r="E15" s="12">
        <v>5.0460000000000003</v>
      </c>
      <c r="F15" s="12">
        <v>6.23</v>
      </c>
      <c r="G15" s="12">
        <v>6.8330000000000002</v>
      </c>
      <c r="H15" s="16">
        <v>7.47</v>
      </c>
      <c r="I15" s="16">
        <v>7.69</v>
      </c>
      <c r="J15" s="16">
        <v>7.88</v>
      </c>
      <c r="K15" s="16">
        <f t="shared" ref="K15:Q15" si="8">K14*(1-$A$15)</f>
        <v>7.2751641787499981</v>
      </c>
      <c r="L15" s="16">
        <f t="shared" si="8"/>
        <v>8.7301970144999981</v>
      </c>
      <c r="M15" s="16">
        <f t="shared" si="8"/>
        <v>7.187862208604999</v>
      </c>
      <c r="N15" s="16">
        <f t="shared" si="8"/>
        <v>9.5543276126687999</v>
      </c>
      <c r="O15" s="16">
        <f t="shared" si="8"/>
        <v>7.3747466260287293</v>
      </c>
      <c r="P15" s="16">
        <f t="shared" si="8"/>
        <v>9.5304417936371273</v>
      </c>
      <c r="Q15" s="16">
        <f t="shared" si="8"/>
        <v>10.006963883318985</v>
      </c>
      <c r="R15" s="16">
        <f>R14*(1-$A$15)</f>
        <v>10.257137980401959</v>
      </c>
    </row>
    <row r="16" spans="1:28" ht="32.25" thickBot="1" x14ac:dyDescent="0.3">
      <c r="A16" s="18" t="s">
        <v>7</v>
      </c>
      <c r="B16" s="19"/>
      <c r="C16" s="20">
        <f t="shared" ref="C16:D16" si="9">C15/C14</f>
        <v>0.87856657608695654</v>
      </c>
      <c r="D16" s="20">
        <f t="shared" si="9"/>
        <v>0.29107354685646503</v>
      </c>
      <c r="E16" s="20">
        <f>E15/E14</f>
        <v>0.68802836105808574</v>
      </c>
      <c r="F16" s="20">
        <f>F15/F14</f>
        <v>0.72908133411351672</v>
      </c>
      <c r="G16" s="21">
        <f>G15/G14</f>
        <v>0.79049051365108747</v>
      </c>
      <c r="H16" s="21">
        <f t="shared" ref="H16:K16" si="10">H15/H14</f>
        <v>0.81818181818181812</v>
      </c>
      <c r="I16" s="21">
        <f t="shared" si="10"/>
        <v>0.84508814494635376</v>
      </c>
      <c r="J16" s="21">
        <f t="shared" si="10"/>
        <v>0.8448469132769536</v>
      </c>
      <c r="K16" s="21">
        <f t="shared" si="10"/>
        <v>0.75</v>
      </c>
    </row>
    <row r="17" spans="1:18" x14ac:dyDescent="0.25">
      <c r="A17" s="2"/>
      <c r="G17" s="6"/>
      <c r="H17" s="6"/>
      <c r="I17" s="6"/>
      <c r="J17" s="6"/>
      <c r="K17" s="6"/>
      <c r="L17" s="6"/>
      <c r="M17" s="6"/>
      <c r="N17" s="6"/>
      <c r="O17" s="6"/>
      <c r="P17" s="3"/>
      <c r="Q17" s="3"/>
      <c r="R17" s="3"/>
    </row>
    <row r="18" spans="1:18" ht="16.5" thickBot="1" x14ac:dyDescent="0.3">
      <c r="A18" s="2"/>
      <c r="G18" s="6"/>
      <c r="I18" s="6"/>
      <c r="J18" s="6"/>
      <c r="K18" s="6"/>
      <c r="L18" s="6"/>
      <c r="M18" s="6"/>
      <c r="N18" s="6"/>
      <c r="O18" s="6"/>
      <c r="P18" s="3"/>
      <c r="Q18" s="3"/>
      <c r="R18" s="3"/>
    </row>
    <row r="19" spans="1:18" ht="16.5" thickBot="1" x14ac:dyDescent="0.3">
      <c r="A19" s="2"/>
      <c r="F19" s="61" t="s">
        <v>17</v>
      </c>
      <c r="G19" s="62"/>
      <c r="H19" s="63">
        <f>H15/(1+$C$55)</f>
        <v>6.7909090909090901</v>
      </c>
      <c r="I19" s="63">
        <f>I15/(1+$C$55)^2</f>
        <v>6.3553719008264453</v>
      </c>
      <c r="J19" s="63">
        <f>J15/(1+$C$55)^3</f>
        <v>5.9203606311044306</v>
      </c>
      <c r="K19" s="63">
        <f>K15/(1+$C$55)^4</f>
        <v>4.9690350240762218</v>
      </c>
      <c r="L19" s="63">
        <f>L15/(1+$C$55)^5</f>
        <v>5.4207654808104238</v>
      </c>
      <c r="M19" s="63">
        <f>M15/(1+$C$55)^6</f>
        <v>4.0573608295762869</v>
      </c>
      <c r="N19" s="63">
        <f>N15/(1+$C$55)^7</f>
        <v>4.9028807786767992</v>
      </c>
      <c r="O19" s="63">
        <f>O15/(1+$C$55)^8</f>
        <v>3.4403737282192313</v>
      </c>
      <c r="P19" s="63">
        <f>P15/(1+$C$55)^9</f>
        <v>4.0418376667190969</v>
      </c>
      <c r="Q19" s="63">
        <f>Q15/(1+$C$55)^10</f>
        <v>3.8581177727773195</v>
      </c>
      <c r="R19" s="64">
        <f>(R15/(C55-R12))/(1+C55)^10</f>
        <v>52.727609561290045</v>
      </c>
    </row>
    <row r="20" spans="1:18" x14ac:dyDescent="0.25">
      <c r="A20" s="2"/>
      <c r="C20" s="85">
        <v>0.25</v>
      </c>
      <c r="G20" s="6"/>
      <c r="H20" s="7"/>
      <c r="I20" s="6"/>
      <c r="J20" s="6"/>
      <c r="K20" s="6"/>
      <c r="L20" s="6"/>
      <c r="M20" s="6"/>
      <c r="N20" s="6"/>
      <c r="O20" s="6"/>
      <c r="P20" s="3"/>
      <c r="Q20" s="3"/>
      <c r="R20" s="3"/>
    </row>
    <row r="21" spans="1:18" x14ac:dyDescent="0.25">
      <c r="A21" s="2"/>
      <c r="P21" s="3"/>
      <c r="Q21" s="3"/>
      <c r="R21" s="3"/>
    </row>
    <row r="22" spans="1:18" ht="16.5" thickBot="1" x14ac:dyDescent="0.3">
      <c r="P22" s="3"/>
      <c r="Q22" s="3"/>
      <c r="R22" s="3"/>
    </row>
    <row r="23" spans="1:18" x14ac:dyDescent="0.25">
      <c r="A23" s="40" t="s">
        <v>8</v>
      </c>
      <c r="B23" s="41"/>
      <c r="C23" s="41"/>
      <c r="D23" s="42"/>
      <c r="E23" s="30"/>
      <c r="F23" s="41"/>
      <c r="G23" s="30"/>
      <c r="H23" s="30"/>
      <c r="I23" s="30"/>
      <c r="J23" s="31"/>
    </row>
    <row r="24" spans="1:18" x14ac:dyDescent="0.25">
      <c r="A24" s="43"/>
      <c r="B24" s="44"/>
      <c r="C24" s="44"/>
      <c r="D24" s="45"/>
      <c r="E24" s="44"/>
      <c r="F24" s="44"/>
      <c r="G24" s="33"/>
      <c r="H24" s="33"/>
      <c r="I24" s="33"/>
      <c r="J24" s="34"/>
    </row>
    <row r="25" spans="1:18" x14ac:dyDescent="0.25">
      <c r="A25" s="43" t="s">
        <v>9</v>
      </c>
      <c r="B25" s="44" t="s">
        <v>36</v>
      </c>
      <c r="C25" s="44"/>
      <c r="D25" s="46">
        <v>7.4999999999999997E-2</v>
      </c>
      <c r="E25" s="33"/>
      <c r="F25" s="44"/>
      <c r="G25" s="33"/>
      <c r="H25" s="33"/>
      <c r="I25" s="33"/>
      <c r="J25" s="34"/>
    </row>
    <row r="26" spans="1:18" x14ac:dyDescent="0.25">
      <c r="A26" s="43"/>
      <c r="B26" s="44" t="s">
        <v>20</v>
      </c>
      <c r="C26" s="44"/>
      <c r="D26" s="46">
        <v>0.01</v>
      </c>
      <c r="E26" s="33" t="s">
        <v>38</v>
      </c>
      <c r="F26" s="44"/>
      <c r="G26" s="33"/>
      <c r="H26" s="33"/>
      <c r="I26" s="33"/>
      <c r="J26" s="34"/>
    </row>
    <row r="27" spans="1:18" x14ac:dyDescent="0.25">
      <c r="A27" s="43"/>
      <c r="B27" s="44"/>
      <c r="C27" s="44"/>
      <c r="D27" s="46"/>
      <c r="E27" s="33"/>
      <c r="F27" s="44"/>
      <c r="G27" s="33"/>
      <c r="H27" s="33"/>
      <c r="I27" s="33"/>
      <c r="J27" s="34"/>
    </row>
    <row r="28" spans="1:18" x14ac:dyDescent="0.25">
      <c r="A28" s="43"/>
      <c r="B28" s="44"/>
      <c r="C28" s="44"/>
      <c r="D28" s="47"/>
      <c r="E28" s="33"/>
      <c r="F28" s="44"/>
      <c r="G28" s="33"/>
      <c r="H28" s="33"/>
      <c r="I28" s="33"/>
      <c r="J28" s="34"/>
    </row>
    <row r="29" spans="1:18" x14ac:dyDescent="0.25">
      <c r="A29" s="43"/>
      <c r="B29" s="44"/>
      <c r="C29" s="44"/>
      <c r="D29" s="47"/>
      <c r="E29" s="33"/>
      <c r="F29" s="44"/>
      <c r="G29" s="33"/>
      <c r="H29" s="33"/>
      <c r="I29" s="33"/>
      <c r="J29" s="34"/>
    </row>
    <row r="30" spans="1:18" x14ac:dyDescent="0.25">
      <c r="A30" s="43"/>
      <c r="B30" s="44" t="s">
        <v>10</v>
      </c>
      <c r="C30" s="44"/>
      <c r="D30" s="48">
        <f>D25+D26+D27</f>
        <v>8.4999999999999992E-2</v>
      </c>
      <c r="E30" s="33"/>
      <c r="F30" s="44"/>
      <c r="G30" s="33"/>
      <c r="H30" s="33"/>
      <c r="I30" s="33"/>
      <c r="J30" s="34"/>
    </row>
    <row r="31" spans="1:18" x14ac:dyDescent="0.25">
      <c r="A31" s="43"/>
      <c r="B31" s="44"/>
      <c r="C31" s="44"/>
      <c r="D31" s="45"/>
      <c r="E31" s="33"/>
      <c r="F31" s="44"/>
      <c r="G31" s="33"/>
      <c r="H31" s="33"/>
      <c r="I31" s="33"/>
      <c r="J31" s="34"/>
    </row>
    <row r="32" spans="1:18" x14ac:dyDescent="0.25">
      <c r="A32" s="32"/>
      <c r="B32" s="33"/>
      <c r="C32" s="49"/>
      <c r="D32" s="33"/>
      <c r="E32" s="44"/>
      <c r="F32" s="44"/>
      <c r="G32" s="33"/>
      <c r="H32" s="33"/>
      <c r="I32" s="33"/>
      <c r="J32" s="34"/>
    </row>
    <row r="33" spans="1:10" x14ac:dyDescent="0.25">
      <c r="A33" s="32"/>
      <c r="B33" s="33"/>
      <c r="C33" s="33"/>
      <c r="D33" s="33"/>
      <c r="E33" s="33"/>
      <c r="F33" s="33"/>
      <c r="G33" s="33"/>
      <c r="H33" s="33"/>
      <c r="I33" s="33"/>
      <c r="J33" s="34"/>
    </row>
    <row r="34" spans="1:10" x14ac:dyDescent="0.25">
      <c r="A34" s="43" t="s">
        <v>11</v>
      </c>
      <c r="B34" s="44"/>
      <c r="C34" s="50"/>
      <c r="D34" s="35">
        <v>1.4999999999999999E-2</v>
      </c>
      <c r="E34" s="33" t="s">
        <v>37</v>
      </c>
      <c r="F34" s="33"/>
      <c r="G34" s="33"/>
      <c r="H34" s="33"/>
      <c r="I34" s="33"/>
      <c r="J34" s="34"/>
    </row>
    <row r="35" spans="1:10" ht="15.75" hidden="1" customHeight="1" x14ac:dyDescent="0.25">
      <c r="A35" s="32"/>
      <c r="B35" s="33"/>
      <c r="C35" s="33"/>
      <c r="D35" s="33"/>
      <c r="E35" s="33"/>
      <c r="F35" s="33"/>
      <c r="G35" s="33"/>
      <c r="H35" s="33"/>
      <c r="I35" s="33"/>
      <c r="J35" s="34"/>
    </row>
    <row r="36" spans="1:10" ht="15.75" hidden="1" customHeight="1" x14ac:dyDescent="0.25">
      <c r="A36" s="32"/>
      <c r="B36" s="33" t="s">
        <v>12</v>
      </c>
      <c r="C36" s="33"/>
      <c r="D36" s="51">
        <v>0.08</v>
      </c>
      <c r="E36" s="33"/>
      <c r="F36" s="33"/>
      <c r="G36" s="33"/>
      <c r="H36" s="33"/>
      <c r="I36" s="33"/>
      <c r="J36" s="34"/>
    </row>
    <row r="37" spans="1:10" ht="15.75" hidden="1" customHeight="1" x14ac:dyDescent="0.25">
      <c r="A37" s="32"/>
      <c r="B37" s="33"/>
      <c r="C37" s="33"/>
      <c r="D37" s="33"/>
      <c r="E37" s="33"/>
      <c r="F37" s="33"/>
      <c r="G37" s="33"/>
      <c r="H37" s="33"/>
      <c r="I37" s="33"/>
      <c r="J37" s="34"/>
    </row>
    <row r="38" spans="1:10" ht="15.75" hidden="1" customHeight="1" x14ac:dyDescent="0.25">
      <c r="A38" s="32"/>
      <c r="B38" s="33"/>
      <c r="C38" s="33"/>
      <c r="D38" s="33"/>
      <c r="E38" s="33"/>
      <c r="F38" s="33"/>
      <c r="G38" s="33"/>
      <c r="H38" s="33"/>
      <c r="I38" s="33"/>
      <c r="J38" s="34"/>
    </row>
    <row r="39" spans="1:10" ht="15.75" hidden="1" customHeight="1" x14ac:dyDescent="0.25">
      <c r="A39" s="32"/>
      <c r="B39" s="33"/>
      <c r="C39" s="33"/>
      <c r="D39" s="33"/>
      <c r="E39" s="33"/>
      <c r="F39" s="33"/>
      <c r="G39" s="33"/>
      <c r="H39" s="33"/>
      <c r="I39" s="33"/>
      <c r="J39" s="34"/>
    </row>
    <row r="40" spans="1:10" hidden="1" x14ac:dyDescent="0.25">
      <c r="A40" s="32"/>
      <c r="B40" s="52"/>
      <c r="C40" s="52">
        <v>0.12</v>
      </c>
      <c r="D40" s="52" t="e">
        <f>((NPV(C40,$H$15:$R$15)+(#REF!*(1+#REF!)/(C40-#REF!))/(1+C40)^(2040-2020))/$D$50)/$C$51-1</f>
        <v>#REF!</v>
      </c>
      <c r="E40" s="33"/>
      <c r="F40" s="33"/>
      <c r="G40" s="33"/>
      <c r="H40" s="33"/>
      <c r="I40" s="33"/>
      <c r="J40" s="34"/>
    </row>
    <row r="41" spans="1:10" hidden="1" x14ac:dyDescent="0.25">
      <c r="A41" s="32"/>
      <c r="B41" s="52"/>
      <c r="C41" s="52">
        <v>0.14000000000000001</v>
      </c>
      <c r="D41" s="52" t="e">
        <f>((NPV(C41,$H$15:$R$15)+(#REF!*(1+#REF!)/(C41-#REF!))/(1+C41)^(2040-2020))/$D$50)/$C$51-1</f>
        <v>#REF!</v>
      </c>
      <c r="E41" s="33"/>
      <c r="F41" s="33"/>
      <c r="G41" s="33"/>
      <c r="H41" s="33"/>
      <c r="I41" s="33"/>
      <c r="J41" s="34"/>
    </row>
    <row r="42" spans="1:10" hidden="1" x14ac:dyDescent="0.25">
      <c r="A42" s="32"/>
      <c r="B42" s="52"/>
      <c r="C42" s="52">
        <v>0.16</v>
      </c>
      <c r="D42" s="52" t="e">
        <f>((NPV(C42,$H$15:$R$15)+(#REF!*(1+#REF!)/(C42-#REF!))/(1+C42)^(2040-2020))/$D$50)/$C$51-1</f>
        <v>#REF!</v>
      </c>
      <c r="E42" s="33"/>
      <c r="F42" s="33"/>
      <c r="G42" s="33"/>
      <c r="H42" s="33"/>
      <c r="I42" s="33"/>
      <c r="J42" s="34"/>
    </row>
    <row r="43" spans="1:10" hidden="1" x14ac:dyDescent="0.25">
      <c r="A43" s="32"/>
      <c r="B43" s="52"/>
      <c r="C43" s="52">
        <v>0.18</v>
      </c>
      <c r="D43" s="52" t="e">
        <f>((NPV(C43,$H$15:$R$15)+(#REF!*(1+#REF!)/(C43-#REF!))/(1+C43)^(2040-2020))/$D$50)/$C$51-1</f>
        <v>#REF!</v>
      </c>
      <c r="E43" s="33"/>
      <c r="F43" s="33"/>
      <c r="G43" s="33"/>
      <c r="H43" s="33"/>
      <c r="I43" s="33"/>
      <c r="J43" s="34"/>
    </row>
    <row r="44" spans="1:10" hidden="1" x14ac:dyDescent="0.25">
      <c r="A44" s="32"/>
      <c r="B44" s="52"/>
      <c r="C44" s="52">
        <v>0.2</v>
      </c>
      <c r="D44" s="52" t="e">
        <f>((NPV(C44,$H$15:$R$15)+(#REF!*(1+#REF!)/(C44-#REF!))/(1+C44)^(2040-2020))/$D$50)/$C$51-1</f>
        <v>#REF!</v>
      </c>
      <c r="E44" s="33"/>
      <c r="F44" s="33"/>
      <c r="G44" s="33"/>
      <c r="H44" s="33"/>
      <c r="I44" s="33"/>
      <c r="J44" s="34"/>
    </row>
    <row r="45" spans="1:10" x14ac:dyDescent="0.25">
      <c r="A45" s="32"/>
      <c r="B45" s="33"/>
      <c r="C45" s="33"/>
      <c r="D45" s="33"/>
      <c r="E45" s="33"/>
      <c r="F45" s="33"/>
      <c r="G45" s="33"/>
      <c r="H45" s="33"/>
      <c r="I45" s="33"/>
      <c r="J45" s="34"/>
    </row>
    <row r="46" spans="1:10" ht="16.5" thickBot="1" x14ac:dyDescent="0.3">
      <c r="A46" s="36"/>
      <c r="B46" s="37" t="s">
        <v>14</v>
      </c>
      <c r="C46" s="37"/>
      <c r="D46" s="53">
        <f>D30+D34</f>
        <v>9.9999999999999992E-2</v>
      </c>
      <c r="E46" s="37"/>
      <c r="F46" s="37"/>
      <c r="G46" s="37"/>
      <c r="H46" s="37"/>
      <c r="I46" s="37"/>
      <c r="J46" s="38"/>
    </row>
    <row r="48" spans="1:10" x14ac:dyDescent="0.25">
      <c r="A48" s="22"/>
      <c r="B48" s="23"/>
      <c r="C48" s="24">
        <v>44477</v>
      </c>
      <c r="D48" s="25" t="s">
        <v>3</v>
      </c>
      <c r="E48" s="26"/>
      <c r="F48" s="27"/>
      <c r="G48" s="28"/>
      <c r="H48" s="28"/>
      <c r="I48" s="28"/>
    </row>
    <row r="49" spans="1:6" x14ac:dyDescent="0.25">
      <c r="A49" s="54" t="s">
        <v>0</v>
      </c>
      <c r="B49" s="55" t="s">
        <v>6</v>
      </c>
      <c r="C49" s="56">
        <f>C50*C51</f>
        <v>97959.035000000003</v>
      </c>
      <c r="D49" s="57">
        <f>SUM(H19:R19)*1000</f>
        <v>102484.6224649854</v>
      </c>
      <c r="E49" s="55" t="s">
        <v>34</v>
      </c>
    </row>
    <row r="50" spans="1:6" x14ac:dyDescent="0.25">
      <c r="A50" s="54"/>
      <c r="B50" s="55" t="s">
        <v>16</v>
      </c>
      <c r="C50" s="87">
        <v>276.916</v>
      </c>
      <c r="D50" s="56">
        <f>C50*0.95</f>
        <v>263.0702</v>
      </c>
      <c r="E50" s="55"/>
      <c r="F50" s="1" t="s">
        <v>40</v>
      </c>
    </row>
    <row r="51" spans="1:6" x14ac:dyDescent="0.25">
      <c r="A51" s="54"/>
      <c r="B51" s="55" t="s">
        <v>18</v>
      </c>
      <c r="C51" s="68">
        <v>353.75</v>
      </c>
      <c r="D51" s="68">
        <f>D49/(D50)</f>
        <v>389.57138613566036</v>
      </c>
      <c r="E51" s="55" t="s">
        <v>34</v>
      </c>
    </row>
    <row r="52" spans="1:6" x14ac:dyDescent="0.25">
      <c r="A52" s="54"/>
      <c r="B52" s="55" t="s">
        <v>2</v>
      </c>
      <c r="C52" s="55"/>
      <c r="D52" s="69">
        <f>IF(C51/D51-1&gt;0,0,C51/D51-1)</f>
        <v>-9.1950762839615452E-2</v>
      </c>
      <c r="E52" s="55"/>
    </row>
    <row r="53" spans="1:6" x14ac:dyDescent="0.25">
      <c r="A53" s="54"/>
      <c r="B53" s="55" t="s">
        <v>21</v>
      </c>
      <c r="C53" s="55"/>
      <c r="D53" s="70">
        <f>IF(C51/D51-1&lt;0,0,C51/D51-1)</f>
        <v>0</v>
      </c>
      <c r="E53" s="55"/>
    </row>
    <row r="54" spans="1:6" x14ac:dyDescent="0.25">
      <c r="A54" s="55"/>
      <c r="B54" s="55"/>
      <c r="C54" s="55"/>
      <c r="D54" s="58"/>
      <c r="E54" s="58"/>
    </row>
    <row r="55" spans="1:6" x14ac:dyDescent="0.25">
      <c r="A55" s="58" t="s">
        <v>4</v>
      </c>
      <c r="B55" s="55"/>
      <c r="C55" s="60">
        <f>D46</f>
        <v>9.9999999999999992E-2</v>
      </c>
      <c r="D55" s="59"/>
      <c r="E55" s="55"/>
    </row>
    <row r="56" spans="1:6" ht="16.5" thickBot="1" x14ac:dyDescent="0.3">
      <c r="A56" s="29"/>
      <c r="C56" s="79"/>
      <c r="D56" s="80"/>
    </row>
    <row r="57" spans="1:6" x14ac:dyDescent="0.25">
      <c r="A57" s="71" t="s">
        <v>31</v>
      </c>
      <c r="B57" s="30"/>
      <c r="C57" s="82">
        <v>18</v>
      </c>
      <c r="D57" s="30"/>
      <c r="E57" s="31"/>
    </row>
    <row r="58" spans="1:6" x14ac:dyDescent="0.25">
      <c r="A58" s="32"/>
      <c r="B58" s="33"/>
      <c r="C58" s="83"/>
      <c r="D58" s="33"/>
      <c r="E58" s="34"/>
    </row>
    <row r="59" spans="1:6" x14ac:dyDescent="0.25">
      <c r="A59" s="32" t="s">
        <v>24</v>
      </c>
      <c r="B59" s="33"/>
      <c r="C59" s="83"/>
      <c r="D59" s="33"/>
      <c r="E59" s="72">
        <f>R15*C57*1000</f>
        <v>184628.48364723526</v>
      </c>
    </row>
    <row r="60" spans="1:6" x14ac:dyDescent="0.25">
      <c r="A60" s="32"/>
      <c r="B60" s="33"/>
      <c r="C60" s="83"/>
      <c r="D60" s="33"/>
      <c r="E60" s="34"/>
    </row>
    <row r="61" spans="1:6" x14ac:dyDescent="0.25">
      <c r="A61" s="32" t="s">
        <v>25</v>
      </c>
      <c r="B61" s="33"/>
      <c r="C61" s="84">
        <v>0.5</v>
      </c>
      <c r="D61" s="33"/>
      <c r="E61" s="34"/>
    </row>
    <row r="62" spans="1:6" x14ac:dyDescent="0.25">
      <c r="A62" s="32"/>
      <c r="B62" s="33"/>
      <c r="C62" s="33"/>
      <c r="D62" s="33"/>
      <c r="E62" s="34"/>
    </row>
    <row r="63" spans="1:6" x14ac:dyDescent="0.25">
      <c r="A63" s="32" t="s">
        <v>26</v>
      </c>
      <c r="B63" s="33"/>
      <c r="C63" s="33"/>
      <c r="D63" s="33"/>
      <c r="E63" s="72">
        <f>SUM(H15:R15)*C61*1000</f>
        <v>46478.420648955303</v>
      </c>
    </row>
    <row r="64" spans="1:6" x14ac:dyDescent="0.25">
      <c r="A64" s="32"/>
      <c r="B64" s="33"/>
      <c r="C64" s="33"/>
      <c r="D64" s="33"/>
      <c r="E64" s="73"/>
    </row>
    <row r="65" spans="1:5" x14ac:dyDescent="0.25">
      <c r="A65" s="74" t="s">
        <v>27</v>
      </c>
      <c r="B65" s="33"/>
      <c r="C65" s="33"/>
      <c r="D65" s="33"/>
      <c r="E65" s="75">
        <f>(E63*0.25)*-1</f>
        <v>-11619.605162238826</v>
      </c>
    </row>
    <row r="66" spans="1:5" x14ac:dyDescent="0.25">
      <c r="A66" s="32"/>
      <c r="B66" s="33"/>
      <c r="C66" s="52"/>
      <c r="D66" s="52"/>
      <c r="E66" s="76"/>
    </row>
    <row r="67" spans="1:5" x14ac:dyDescent="0.25">
      <c r="A67" s="32" t="s">
        <v>28</v>
      </c>
      <c r="B67" s="33"/>
      <c r="C67" s="33"/>
      <c r="D67" s="33"/>
      <c r="E67" s="72">
        <f>SUM(E59:E65)</f>
        <v>219487.29913395175</v>
      </c>
    </row>
    <row r="68" spans="1:5" x14ac:dyDescent="0.25">
      <c r="A68" s="32"/>
      <c r="B68" s="33"/>
      <c r="C68" s="33"/>
      <c r="D68" s="33"/>
      <c r="E68" s="72"/>
    </row>
    <row r="69" spans="1:5" x14ac:dyDescent="0.25">
      <c r="A69" s="32" t="s">
        <v>29</v>
      </c>
      <c r="B69" s="33"/>
      <c r="C69" s="33"/>
      <c r="D69" s="33"/>
      <c r="E69" s="76">
        <f>E67/C49-1</f>
        <v>1.2406029125741362</v>
      </c>
    </row>
    <row r="70" spans="1:5" x14ac:dyDescent="0.25">
      <c r="A70" s="32"/>
      <c r="B70" s="33"/>
      <c r="C70" s="33"/>
      <c r="D70" s="33"/>
      <c r="E70" s="34"/>
    </row>
    <row r="71" spans="1:5" ht="16.5" thickBot="1" x14ac:dyDescent="0.3">
      <c r="A71" s="77" t="s">
        <v>30</v>
      </c>
      <c r="B71" s="78"/>
      <c r="C71" s="78"/>
      <c r="D71" s="78"/>
      <c r="E71" s="81">
        <f>(E67/C49)^(1/10)-1</f>
        <v>8.4017989874550336E-2</v>
      </c>
    </row>
  </sheetData>
  <conditionalFormatting sqref="L6:L8">
    <cfRule type="top10" dxfId="11" priority="6" percent="1" rank="10"/>
  </conditionalFormatting>
  <conditionalFormatting sqref="G6:J8">
    <cfRule type="top10" dxfId="10" priority="5" percent="1" rank="10"/>
  </conditionalFormatting>
  <conditionalFormatting sqref="L9">
    <cfRule type="top10" dxfId="9" priority="4" percent="1" rank="10"/>
  </conditionalFormatting>
  <conditionalFormatting sqref="L2:L5">
    <cfRule type="top10" dxfId="8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71"/>
  <sheetViews>
    <sheetView zoomScale="90" zoomScaleNormal="90" workbookViewId="0">
      <selection activeCell="C52" sqref="C52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3" width="16" style="1" bestFit="1" customWidth="1"/>
    <col min="4" max="4" width="16.125" style="1" customWidth="1"/>
    <col min="5" max="5" width="14.125" style="1" customWidth="1"/>
    <col min="6" max="6" width="13.625" style="1" customWidth="1"/>
    <col min="7" max="7" width="14.875" style="1" customWidth="1"/>
    <col min="8" max="8" width="12.125" style="1" customWidth="1"/>
    <col min="9" max="15" width="10.625" style="1"/>
    <col min="16" max="16" width="12" style="1" bestFit="1" customWidth="1"/>
    <col min="17" max="18" width="10.625" style="1" customWidth="1"/>
    <col min="19" max="16384" width="10.625" style="1"/>
  </cols>
  <sheetData>
    <row r="2" spans="1:28" ht="26.25" x14ac:dyDescent="0.4">
      <c r="B2" s="39" t="s">
        <v>15</v>
      </c>
    </row>
    <row r="4" spans="1:28" x14ac:dyDescent="0.25">
      <c r="B4" s="29" t="s">
        <v>32</v>
      </c>
    </row>
    <row r="6" spans="1:28" x14ac:dyDescent="0.25">
      <c r="B6" s="1" t="s">
        <v>33</v>
      </c>
    </row>
    <row r="9" spans="1:28" s="8" customFormat="1" x14ac:dyDescent="0.25">
      <c r="H9" s="9" t="s">
        <v>13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5">
      <c r="A10" s="4"/>
      <c r="B10" s="4"/>
      <c r="C10" s="11">
        <v>2016</v>
      </c>
      <c r="D10" s="11">
        <v>2017</v>
      </c>
      <c r="E10" s="11">
        <v>2018</v>
      </c>
      <c r="F10" s="11">
        <v>2019</v>
      </c>
      <c r="G10" s="11">
        <v>2020</v>
      </c>
      <c r="H10" s="66">
        <v>2021</v>
      </c>
      <c r="I10" s="66">
        <v>2022</v>
      </c>
      <c r="J10" s="66">
        <v>2023</v>
      </c>
      <c r="K10" s="66">
        <v>2024</v>
      </c>
      <c r="L10" s="66">
        <v>2025</v>
      </c>
      <c r="M10" s="66">
        <v>2026</v>
      </c>
      <c r="N10" s="66">
        <v>2027</v>
      </c>
      <c r="O10" s="66">
        <v>2028</v>
      </c>
      <c r="P10" s="66">
        <v>2029</v>
      </c>
      <c r="Q10" s="66">
        <v>2030</v>
      </c>
      <c r="R10" s="65" t="s">
        <v>19</v>
      </c>
    </row>
    <row r="11" spans="1:28" x14ac:dyDescent="0.25">
      <c r="A11" s="5"/>
      <c r="B11" s="4" t="s">
        <v>5</v>
      </c>
      <c r="C11" s="86">
        <v>47.29</v>
      </c>
      <c r="D11" s="86">
        <v>49.96</v>
      </c>
      <c r="E11" s="86">
        <v>53.762</v>
      </c>
      <c r="F11" s="86">
        <v>59.811999999999998</v>
      </c>
      <c r="G11" s="86">
        <v>65.397999999999996</v>
      </c>
      <c r="H11" s="16">
        <v>68.290000000000006</v>
      </c>
      <c r="I11" s="16">
        <v>70.55</v>
      </c>
      <c r="J11" s="16">
        <v>72.52</v>
      </c>
      <c r="K11" s="16">
        <f t="shared" ref="K11:L11" si="0">J11*(1+K12)</f>
        <v>76.146000000000001</v>
      </c>
      <c r="L11" s="16">
        <f t="shared" si="0"/>
        <v>79.953299999999999</v>
      </c>
      <c r="M11" s="16">
        <f>L11*(1+M12)</f>
        <v>83.950964999999997</v>
      </c>
      <c r="N11" s="16">
        <f t="shared" ref="N11:R11" si="1">M11*(1+N12)</f>
        <v>87.309003599999997</v>
      </c>
      <c r="O11" s="16">
        <f t="shared" si="1"/>
        <v>90.801363744</v>
      </c>
      <c r="P11" s="16">
        <f t="shared" si="1"/>
        <v>93.525404656320006</v>
      </c>
      <c r="Q11" s="16">
        <f t="shared" si="1"/>
        <v>96.331166796009612</v>
      </c>
      <c r="R11" s="16">
        <f t="shared" si="1"/>
        <v>98.739445965909837</v>
      </c>
    </row>
    <row r="12" spans="1:28" x14ac:dyDescent="0.25">
      <c r="A12" s="5"/>
      <c r="B12" s="4" t="s">
        <v>1</v>
      </c>
      <c r="C12" s="13"/>
      <c r="D12" s="13">
        <f t="shared" ref="D12:F12" si="2">D11/C11-1</f>
        <v>5.6460139564389999E-2</v>
      </c>
      <c r="E12" s="13">
        <f t="shared" si="2"/>
        <v>7.6100880704563556E-2</v>
      </c>
      <c r="F12" s="13">
        <f t="shared" si="2"/>
        <v>0.11253301588482567</v>
      </c>
      <c r="G12" s="13">
        <f>G11/F11-1</f>
        <v>9.3392630241423191E-2</v>
      </c>
      <c r="H12" s="88">
        <f>H11/G11-1</f>
        <v>4.4221535826783898E-2</v>
      </c>
      <c r="I12" s="88">
        <f t="shared" ref="I12:J12" si="3">I11/H11-1</f>
        <v>3.3094157270464164E-2</v>
      </c>
      <c r="J12" s="88">
        <f t="shared" si="3"/>
        <v>2.7923458540042523E-2</v>
      </c>
      <c r="K12" s="88">
        <v>0.05</v>
      </c>
      <c r="L12" s="88">
        <v>0.05</v>
      </c>
      <c r="M12" s="17">
        <v>0.05</v>
      </c>
      <c r="N12" s="17">
        <v>0.04</v>
      </c>
      <c r="O12" s="17">
        <v>0.04</v>
      </c>
      <c r="P12" s="17">
        <v>0.03</v>
      </c>
      <c r="Q12" s="17">
        <v>0.03</v>
      </c>
      <c r="R12" s="17">
        <v>2.5000000000000001E-2</v>
      </c>
    </row>
    <row r="13" spans="1:28" ht="15.95" customHeight="1" x14ac:dyDescent="0.25">
      <c r="A13" s="5"/>
      <c r="B13" s="4" t="s">
        <v>22</v>
      </c>
      <c r="C13" s="13">
        <f t="shared" ref="C13:E13" si="4">C14/C11</f>
        <v>0.12450835271727638</v>
      </c>
      <c r="D13" s="13">
        <f t="shared" si="4"/>
        <v>0.13498799039231385</v>
      </c>
      <c r="E13" s="13">
        <f t="shared" si="4"/>
        <v>0.13641605595029946</v>
      </c>
      <c r="F13" s="13">
        <f t="shared" ref="F13:J13" si="5">F14/F11</f>
        <v>0.14286430816558551</v>
      </c>
      <c r="G13" s="13">
        <f t="shared" si="5"/>
        <v>0.13217529588060797</v>
      </c>
      <c r="H13" s="67">
        <f t="shared" si="5"/>
        <v>0.13369453799970712</v>
      </c>
      <c r="I13" s="67">
        <f t="shared" si="5"/>
        <v>0.13479801559177887</v>
      </c>
      <c r="J13" s="67">
        <f t="shared" si="5"/>
        <v>0.13554881412024269</v>
      </c>
      <c r="K13" s="67">
        <v>0.14000000000000001</v>
      </c>
      <c r="L13" s="67">
        <v>0.15</v>
      </c>
      <c r="M13" s="67">
        <v>0.16</v>
      </c>
      <c r="N13" s="67">
        <v>0.17</v>
      </c>
      <c r="O13" s="67">
        <v>0.17</v>
      </c>
      <c r="P13" s="67">
        <v>0.17</v>
      </c>
      <c r="Q13" s="67">
        <v>0.18</v>
      </c>
      <c r="R13" s="67">
        <v>0.18</v>
      </c>
    </row>
    <row r="14" spans="1:28" ht="17.100000000000001" customHeight="1" x14ac:dyDescent="0.25">
      <c r="A14" s="5"/>
      <c r="B14" s="4" t="s">
        <v>23</v>
      </c>
      <c r="C14" s="12">
        <v>5.8879999999999999</v>
      </c>
      <c r="D14" s="12">
        <v>6.7439999999999998</v>
      </c>
      <c r="E14" s="12">
        <v>7.3339999999999996</v>
      </c>
      <c r="F14" s="12">
        <v>8.5449999999999999</v>
      </c>
      <c r="G14" s="12">
        <v>8.6440000000000001</v>
      </c>
      <c r="H14" s="16">
        <v>9.1300000000000008</v>
      </c>
      <c r="I14" s="16">
        <v>9.51</v>
      </c>
      <c r="J14" s="16">
        <v>9.83</v>
      </c>
      <c r="K14" s="16">
        <f t="shared" ref="K14:R14" si="6">K11*K13</f>
        <v>10.660440000000001</v>
      </c>
      <c r="L14" s="16">
        <f t="shared" si="6"/>
        <v>11.992994999999999</v>
      </c>
      <c r="M14" s="16">
        <f t="shared" si="6"/>
        <v>13.4321544</v>
      </c>
      <c r="N14" s="16">
        <f t="shared" si="6"/>
        <v>14.842530612000001</v>
      </c>
      <c r="O14" s="16">
        <f>O11*O13</f>
        <v>15.436231836480001</v>
      </c>
      <c r="P14" s="16">
        <f t="shared" si="6"/>
        <v>15.899318791574402</v>
      </c>
      <c r="Q14" s="16">
        <f t="shared" si="6"/>
        <v>17.339610023281729</v>
      </c>
      <c r="R14" s="16">
        <f t="shared" si="6"/>
        <v>17.773100273863768</v>
      </c>
    </row>
    <row r="15" spans="1:28" ht="16.5" thickBot="1" x14ac:dyDescent="0.3">
      <c r="A15" s="15">
        <v>0.25</v>
      </c>
      <c r="B15" s="4" t="s">
        <v>35</v>
      </c>
      <c r="C15" s="14">
        <v>5.173</v>
      </c>
      <c r="D15" s="12">
        <v>1.9630000000000001</v>
      </c>
      <c r="E15" s="12">
        <v>5.0460000000000003</v>
      </c>
      <c r="F15" s="12">
        <v>6.23</v>
      </c>
      <c r="G15" s="12">
        <v>6.8330000000000002</v>
      </c>
      <c r="H15" s="16">
        <v>7.47</v>
      </c>
      <c r="I15" s="16">
        <v>7.69</v>
      </c>
      <c r="J15" s="16">
        <v>7.88</v>
      </c>
      <c r="K15" s="16">
        <f t="shared" ref="K15:L15" si="7">K14*(1-$A$15)</f>
        <v>7.9953300000000009</v>
      </c>
      <c r="L15" s="16">
        <f t="shared" si="7"/>
        <v>8.9947462499999986</v>
      </c>
      <c r="M15" s="16">
        <f t="shared" ref="M15:Q15" si="8">M14*(1-$A$15)</f>
        <v>10.0741158</v>
      </c>
      <c r="N15" s="16">
        <f t="shared" si="8"/>
        <v>11.131897959</v>
      </c>
      <c r="O15" s="16">
        <f t="shared" si="8"/>
        <v>11.57717387736</v>
      </c>
      <c r="P15" s="16">
        <f t="shared" si="8"/>
        <v>11.924489093680801</v>
      </c>
      <c r="Q15" s="16">
        <f t="shared" si="8"/>
        <v>13.004707517461297</v>
      </c>
      <c r="R15" s="16">
        <f>R14*(1-$A$15)</f>
        <v>13.329825205397826</v>
      </c>
    </row>
    <row r="16" spans="1:28" ht="32.25" thickBot="1" x14ac:dyDescent="0.3">
      <c r="A16" s="18" t="s">
        <v>7</v>
      </c>
      <c r="B16" s="19"/>
      <c r="C16" s="20">
        <f t="shared" ref="C16:D16" si="9">C15/C14</f>
        <v>0.87856657608695654</v>
      </c>
      <c r="D16" s="20">
        <f t="shared" si="9"/>
        <v>0.29107354685646503</v>
      </c>
      <c r="E16" s="20">
        <f>E15/E14</f>
        <v>0.68802836105808574</v>
      </c>
      <c r="F16" s="20">
        <f>F15/F14</f>
        <v>0.72908133411351672</v>
      </c>
      <c r="G16" s="21">
        <f>G15/G14</f>
        <v>0.79049051365108747</v>
      </c>
      <c r="H16" s="21">
        <f t="shared" ref="H16:K16" si="10">H15/H14</f>
        <v>0.81818181818181812</v>
      </c>
      <c r="I16" s="21">
        <f t="shared" si="10"/>
        <v>0.80862250262881186</v>
      </c>
      <c r="J16" s="21">
        <f t="shared" si="10"/>
        <v>0.80162767039674465</v>
      </c>
      <c r="K16" s="21">
        <f t="shared" si="10"/>
        <v>0.75</v>
      </c>
    </row>
    <row r="17" spans="1:18" x14ac:dyDescent="0.25">
      <c r="A17" s="2"/>
      <c r="G17" s="6"/>
      <c r="H17" s="6"/>
      <c r="I17" s="6"/>
      <c r="J17" s="6"/>
      <c r="K17" s="6"/>
      <c r="L17" s="6"/>
      <c r="M17" s="6"/>
      <c r="N17" s="6"/>
      <c r="O17" s="6"/>
      <c r="P17" s="3"/>
      <c r="Q17" s="3"/>
      <c r="R17" s="3"/>
    </row>
    <row r="18" spans="1:18" ht="16.5" thickBot="1" x14ac:dyDescent="0.3">
      <c r="A18" s="2"/>
      <c r="G18" s="6"/>
      <c r="I18" s="6"/>
      <c r="J18" s="6"/>
      <c r="K18" s="6"/>
      <c r="L18" s="6"/>
      <c r="M18" s="6"/>
      <c r="N18" s="6"/>
      <c r="O18" s="6"/>
      <c r="P18" s="3"/>
      <c r="Q18" s="3"/>
      <c r="R18" s="3"/>
    </row>
    <row r="19" spans="1:18" ht="16.5" thickBot="1" x14ac:dyDescent="0.3">
      <c r="A19" s="2"/>
      <c r="F19" s="61" t="s">
        <v>17</v>
      </c>
      <c r="G19" s="62"/>
      <c r="H19" s="63">
        <f>H15/(1+$C$55)</f>
        <v>6.7909090909090901</v>
      </c>
      <c r="I19" s="63">
        <f>I15/(1+$C$55)^2</f>
        <v>6.3553719008264453</v>
      </c>
      <c r="J19" s="63">
        <f>J15/(1+$C$55)^3</f>
        <v>5.9203606311044306</v>
      </c>
      <c r="K19" s="63">
        <f>K15/(1+$C$55)^4</f>
        <v>5.4609179700840098</v>
      </c>
      <c r="L19" s="63">
        <f>L15/(1+$C$55)^5</f>
        <v>5.5850297421313719</v>
      </c>
      <c r="M19" s="63">
        <f>M15/(1+$C$55)^6</f>
        <v>5.6865757374428512</v>
      </c>
      <c r="N19" s="63">
        <f>N15/(1+$C$55)^7</f>
        <v>5.7124238089766814</v>
      </c>
      <c r="O19" s="63">
        <f>O15/(1+$C$55)^8</f>
        <v>5.400837055759772</v>
      </c>
      <c r="P19" s="63">
        <f>P15/(1+$C$55)^9</f>
        <v>5.0571474249386963</v>
      </c>
      <c r="Q19" s="63">
        <f>Q15/(1+$C$55)^10</f>
        <v>5.0138777143509845</v>
      </c>
      <c r="R19" s="64">
        <f>(R15/(C55-R12))/(1+C55)^10</f>
        <v>68.52299542946345</v>
      </c>
    </row>
    <row r="20" spans="1:18" x14ac:dyDescent="0.25">
      <c r="A20" s="2"/>
      <c r="C20" s="85">
        <v>0.25</v>
      </c>
      <c r="G20" s="6"/>
      <c r="H20" s="7"/>
      <c r="I20" s="6"/>
      <c r="J20" s="6"/>
      <c r="K20" s="6"/>
      <c r="L20" s="6"/>
      <c r="M20" s="6"/>
      <c r="N20" s="6"/>
      <c r="O20" s="6"/>
      <c r="P20" s="3"/>
      <c r="Q20" s="3"/>
      <c r="R20" s="3"/>
    </row>
    <row r="21" spans="1:18" x14ac:dyDescent="0.25">
      <c r="A21" s="2"/>
      <c r="P21" s="3"/>
      <c r="Q21" s="3"/>
      <c r="R21" s="3"/>
    </row>
    <row r="22" spans="1:18" ht="16.5" thickBot="1" x14ac:dyDescent="0.3">
      <c r="P22" s="3"/>
      <c r="Q22" s="3"/>
      <c r="R22" s="3"/>
    </row>
    <row r="23" spans="1:18" x14ac:dyDescent="0.25">
      <c r="A23" s="40" t="s">
        <v>8</v>
      </c>
      <c r="B23" s="41"/>
      <c r="C23" s="41"/>
      <c r="D23" s="42"/>
      <c r="E23" s="30"/>
      <c r="F23" s="41"/>
      <c r="G23" s="30"/>
      <c r="H23" s="30"/>
      <c r="I23" s="30"/>
      <c r="J23" s="31"/>
    </row>
    <row r="24" spans="1:18" x14ac:dyDescent="0.25">
      <c r="A24" s="43"/>
      <c r="B24" s="44"/>
      <c r="C24" s="44"/>
      <c r="D24" s="45"/>
      <c r="E24" s="44"/>
      <c r="F24" s="44"/>
      <c r="G24" s="33"/>
      <c r="H24" s="33"/>
      <c r="I24" s="33"/>
      <c r="J24" s="34"/>
    </row>
    <row r="25" spans="1:18" x14ac:dyDescent="0.25">
      <c r="A25" s="43" t="s">
        <v>9</v>
      </c>
      <c r="B25" s="44" t="s">
        <v>36</v>
      </c>
      <c r="C25" s="44"/>
      <c r="D25" s="46">
        <v>7.4999999999999997E-2</v>
      </c>
      <c r="E25" s="33"/>
      <c r="F25" s="44"/>
      <c r="G25" s="33"/>
      <c r="H25" s="33"/>
      <c r="I25" s="33"/>
      <c r="J25" s="34"/>
    </row>
    <row r="26" spans="1:18" x14ac:dyDescent="0.25">
      <c r="A26" s="43"/>
      <c r="B26" s="44" t="s">
        <v>20</v>
      </c>
      <c r="C26" s="44"/>
      <c r="D26" s="46">
        <v>0.01</v>
      </c>
      <c r="E26" s="33" t="s">
        <v>38</v>
      </c>
      <c r="F26" s="44"/>
      <c r="G26" s="33"/>
      <c r="H26" s="33"/>
      <c r="I26" s="33"/>
      <c r="J26" s="34"/>
    </row>
    <row r="27" spans="1:18" x14ac:dyDescent="0.25">
      <c r="A27" s="43"/>
      <c r="B27" s="44"/>
      <c r="C27" s="44"/>
      <c r="D27" s="46"/>
      <c r="E27" s="33"/>
      <c r="F27" s="44"/>
      <c r="G27" s="33"/>
      <c r="H27" s="33"/>
      <c r="I27" s="33"/>
      <c r="J27" s="34"/>
    </row>
    <row r="28" spans="1:18" x14ac:dyDescent="0.25">
      <c r="A28" s="43"/>
      <c r="B28" s="44"/>
      <c r="C28" s="44"/>
      <c r="D28" s="47"/>
      <c r="E28" s="33"/>
      <c r="F28" s="44"/>
      <c r="G28" s="33"/>
      <c r="H28" s="33"/>
      <c r="I28" s="33"/>
      <c r="J28" s="34"/>
    </row>
    <row r="29" spans="1:18" x14ac:dyDescent="0.25">
      <c r="A29" s="43"/>
      <c r="B29" s="44"/>
      <c r="C29" s="44"/>
      <c r="D29" s="47"/>
      <c r="E29" s="33"/>
      <c r="F29" s="44"/>
      <c r="G29" s="33"/>
      <c r="H29" s="33"/>
      <c r="I29" s="33"/>
      <c r="J29" s="34"/>
    </row>
    <row r="30" spans="1:18" x14ac:dyDescent="0.25">
      <c r="A30" s="43"/>
      <c r="B30" s="44" t="s">
        <v>10</v>
      </c>
      <c r="C30" s="44"/>
      <c r="D30" s="48">
        <f>D25+D26+D27</f>
        <v>8.4999999999999992E-2</v>
      </c>
      <c r="E30" s="33"/>
      <c r="F30" s="44"/>
      <c r="G30" s="33"/>
      <c r="H30" s="33"/>
      <c r="I30" s="33"/>
      <c r="J30" s="34"/>
    </row>
    <row r="31" spans="1:18" x14ac:dyDescent="0.25">
      <c r="A31" s="43"/>
      <c r="B31" s="44"/>
      <c r="C31" s="44"/>
      <c r="D31" s="45"/>
      <c r="E31" s="33"/>
      <c r="F31" s="44"/>
      <c r="G31" s="33"/>
      <c r="H31" s="33"/>
      <c r="I31" s="33"/>
      <c r="J31" s="34"/>
    </row>
    <row r="32" spans="1:18" x14ac:dyDescent="0.25">
      <c r="A32" s="32"/>
      <c r="B32" s="33"/>
      <c r="C32" s="49"/>
      <c r="D32" s="33"/>
      <c r="E32" s="44"/>
      <c r="F32" s="44"/>
      <c r="G32" s="33"/>
      <c r="H32" s="33"/>
      <c r="I32" s="33"/>
      <c r="J32" s="34"/>
    </row>
    <row r="33" spans="1:10" x14ac:dyDescent="0.25">
      <c r="A33" s="32"/>
      <c r="B33" s="33"/>
      <c r="C33" s="33"/>
      <c r="D33" s="33"/>
      <c r="E33" s="33"/>
      <c r="F33" s="33"/>
      <c r="G33" s="33"/>
      <c r="H33" s="33"/>
      <c r="I33" s="33"/>
      <c r="J33" s="34"/>
    </row>
    <row r="34" spans="1:10" x14ac:dyDescent="0.25">
      <c r="A34" s="43" t="s">
        <v>11</v>
      </c>
      <c r="B34" s="44"/>
      <c r="C34" s="50"/>
      <c r="D34" s="35">
        <v>1.4999999999999999E-2</v>
      </c>
      <c r="E34" s="33" t="s">
        <v>37</v>
      </c>
      <c r="F34" s="33"/>
      <c r="G34" s="33"/>
      <c r="H34" s="33"/>
      <c r="I34" s="33"/>
      <c r="J34" s="34"/>
    </row>
    <row r="35" spans="1:10" ht="15.75" hidden="1" customHeight="1" x14ac:dyDescent="0.25">
      <c r="A35" s="32"/>
      <c r="B35" s="33"/>
      <c r="C35" s="33"/>
      <c r="D35" s="33"/>
      <c r="E35" s="33"/>
      <c r="F35" s="33"/>
      <c r="G35" s="33"/>
      <c r="H35" s="33"/>
      <c r="I35" s="33"/>
      <c r="J35" s="34"/>
    </row>
    <row r="36" spans="1:10" ht="15.75" hidden="1" customHeight="1" x14ac:dyDescent="0.25">
      <c r="A36" s="32"/>
      <c r="B36" s="33" t="s">
        <v>12</v>
      </c>
      <c r="C36" s="33"/>
      <c r="D36" s="51">
        <v>0.08</v>
      </c>
      <c r="E36" s="33"/>
      <c r="F36" s="33"/>
      <c r="G36" s="33"/>
      <c r="H36" s="33"/>
      <c r="I36" s="33"/>
      <c r="J36" s="34"/>
    </row>
    <row r="37" spans="1:10" ht="15.75" hidden="1" customHeight="1" x14ac:dyDescent="0.25">
      <c r="A37" s="32"/>
      <c r="B37" s="33"/>
      <c r="C37" s="33"/>
      <c r="D37" s="33"/>
      <c r="E37" s="33"/>
      <c r="F37" s="33"/>
      <c r="G37" s="33"/>
      <c r="H37" s="33"/>
      <c r="I37" s="33"/>
      <c r="J37" s="34"/>
    </row>
    <row r="38" spans="1:10" ht="15.75" hidden="1" customHeight="1" x14ac:dyDescent="0.25">
      <c r="A38" s="32"/>
      <c r="B38" s="33"/>
      <c r="C38" s="33"/>
      <c r="D38" s="33"/>
      <c r="E38" s="33"/>
      <c r="F38" s="33"/>
      <c r="G38" s="33"/>
      <c r="H38" s="33"/>
      <c r="I38" s="33"/>
      <c r="J38" s="34"/>
    </row>
    <row r="39" spans="1:10" ht="15.75" hidden="1" customHeight="1" x14ac:dyDescent="0.25">
      <c r="A39" s="32"/>
      <c r="B39" s="33"/>
      <c r="C39" s="33"/>
      <c r="D39" s="33"/>
      <c r="E39" s="33"/>
      <c r="F39" s="33"/>
      <c r="G39" s="33"/>
      <c r="H39" s="33"/>
      <c r="I39" s="33"/>
      <c r="J39" s="34"/>
    </row>
    <row r="40" spans="1:10" hidden="1" x14ac:dyDescent="0.25">
      <c r="A40" s="32"/>
      <c r="B40" s="52"/>
      <c r="C40" s="52">
        <v>0.12</v>
      </c>
      <c r="D40" s="52" t="e">
        <f>((NPV(C40,$H$15:$R$15)+(#REF!*(1+#REF!)/(C40-#REF!))/(1+C40)^(2040-2020))/$D$50)/$C$51-1</f>
        <v>#REF!</v>
      </c>
      <c r="E40" s="33"/>
      <c r="F40" s="33"/>
      <c r="G40" s="33"/>
      <c r="H40" s="33"/>
      <c r="I40" s="33"/>
      <c r="J40" s="34"/>
    </row>
    <row r="41" spans="1:10" hidden="1" x14ac:dyDescent="0.25">
      <c r="A41" s="32"/>
      <c r="B41" s="52"/>
      <c r="C41" s="52">
        <v>0.14000000000000001</v>
      </c>
      <c r="D41" s="52" t="e">
        <f>((NPV(C41,$H$15:$R$15)+(#REF!*(1+#REF!)/(C41-#REF!))/(1+C41)^(2040-2020))/$D$50)/$C$51-1</f>
        <v>#REF!</v>
      </c>
      <c r="E41" s="33"/>
      <c r="F41" s="33"/>
      <c r="G41" s="33"/>
      <c r="H41" s="33"/>
      <c r="I41" s="33"/>
      <c r="J41" s="34"/>
    </row>
    <row r="42" spans="1:10" hidden="1" x14ac:dyDescent="0.25">
      <c r="A42" s="32"/>
      <c r="B42" s="52"/>
      <c r="C42" s="52">
        <v>0.16</v>
      </c>
      <c r="D42" s="52" t="e">
        <f>((NPV(C42,$H$15:$R$15)+(#REF!*(1+#REF!)/(C42-#REF!))/(1+C42)^(2040-2020))/$D$50)/$C$51-1</f>
        <v>#REF!</v>
      </c>
      <c r="E42" s="33"/>
      <c r="F42" s="33"/>
      <c r="G42" s="33"/>
      <c r="H42" s="33"/>
      <c r="I42" s="33"/>
      <c r="J42" s="34"/>
    </row>
    <row r="43" spans="1:10" hidden="1" x14ac:dyDescent="0.25">
      <c r="A43" s="32"/>
      <c r="B43" s="52"/>
      <c r="C43" s="52">
        <v>0.18</v>
      </c>
      <c r="D43" s="52" t="e">
        <f>((NPV(C43,$H$15:$R$15)+(#REF!*(1+#REF!)/(C43-#REF!))/(1+C43)^(2040-2020))/$D$50)/$C$51-1</f>
        <v>#REF!</v>
      </c>
      <c r="E43" s="33"/>
      <c r="F43" s="33"/>
      <c r="G43" s="33"/>
      <c r="H43" s="33"/>
      <c r="I43" s="33"/>
      <c r="J43" s="34"/>
    </row>
    <row r="44" spans="1:10" hidden="1" x14ac:dyDescent="0.25">
      <c r="A44" s="32"/>
      <c r="B44" s="52"/>
      <c r="C44" s="52">
        <v>0.2</v>
      </c>
      <c r="D44" s="52" t="e">
        <f>((NPV(C44,$H$15:$R$15)+(#REF!*(1+#REF!)/(C44-#REF!))/(1+C44)^(2040-2020))/$D$50)/$C$51-1</f>
        <v>#REF!</v>
      </c>
      <c r="E44" s="33"/>
      <c r="F44" s="33"/>
      <c r="G44" s="33"/>
      <c r="H44" s="33"/>
      <c r="I44" s="33"/>
      <c r="J44" s="34"/>
    </row>
    <row r="45" spans="1:10" x14ac:dyDescent="0.25">
      <c r="A45" s="32"/>
      <c r="B45" s="33"/>
      <c r="C45" s="33"/>
      <c r="D45" s="33"/>
      <c r="E45" s="33"/>
      <c r="F45" s="33"/>
      <c r="G45" s="33"/>
      <c r="H45" s="33"/>
      <c r="I45" s="33"/>
      <c r="J45" s="34"/>
    </row>
    <row r="46" spans="1:10" ht="16.5" thickBot="1" x14ac:dyDescent="0.3">
      <c r="A46" s="36"/>
      <c r="B46" s="37" t="s">
        <v>14</v>
      </c>
      <c r="C46" s="37"/>
      <c r="D46" s="53">
        <f>D30+D34</f>
        <v>9.9999999999999992E-2</v>
      </c>
      <c r="E46" s="37"/>
      <c r="F46" s="37"/>
      <c r="G46" s="37"/>
      <c r="H46" s="37"/>
      <c r="I46" s="37"/>
      <c r="J46" s="38"/>
    </row>
    <row r="48" spans="1:10" x14ac:dyDescent="0.25">
      <c r="A48" s="22"/>
      <c r="B48" s="23"/>
      <c r="C48" s="24">
        <v>44477</v>
      </c>
      <c r="D48" s="25" t="s">
        <v>3</v>
      </c>
      <c r="E48" s="26"/>
      <c r="F48" s="27"/>
      <c r="G48" s="28"/>
      <c r="H48" s="28"/>
      <c r="I48" s="28"/>
    </row>
    <row r="49" spans="1:6" x14ac:dyDescent="0.25">
      <c r="A49" s="54" t="s">
        <v>0</v>
      </c>
      <c r="B49" s="55" t="s">
        <v>6</v>
      </c>
      <c r="C49" s="56">
        <f>C50*C51</f>
        <v>97959.035000000003</v>
      </c>
      <c r="D49" s="57">
        <f>SUM(H19:R19)*1000</f>
        <v>125506.44650598778</v>
      </c>
      <c r="E49" s="55" t="s">
        <v>34</v>
      </c>
    </row>
    <row r="50" spans="1:6" x14ac:dyDescent="0.25">
      <c r="A50" s="54"/>
      <c r="B50" s="55" t="s">
        <v>16</v>
      </c>
      <c r="C50" s="87">
        <v>276.916</v>
      </c>
      <c r="D50" s="56">
        <f>C50*0.95</f>
        <v>263.0702</v>
      </c>
      <c r="E50" s="55"/>
      <c r="F50" s="1" t="s">
        <v>40</v>
      </c>
    </row>
    <row r="51" spans="1:6" x14ac:dyDescent="0.25">
      <c r="A51" s="54"/>
      <c r="B51" s="55" t="s">
        <v>18</v>
      </c>
      <c r="C51" s="68">
        <v>353.75</v>
      </c>
      <c r="D51" s="68">
        <f>D49/(D50)</f>
        <v>477.08348002163598</v>
      </c>
      <c r="E51" s="55" t="s">
        <v>34</v>
      </c>
    </row>
    <row r="52" spans="1:6" x14ac:dyDescent="0.25">
      <c r="A52" s="54"/>
      <c r="B52" s="55" t="s">
        <v>2</v>
      </c>
      <c r="C52" s="55"/>
      <c r="D52" s="69">
        <f>IF(C51/D51-1&gt;0,0,C51/D51-1)</f>
        <v>-0.25851551182623789</v>
      </c>
      <c r="E52" s="55"/>
    </row>
    <row r="53" spans="1:6" x14ac:dyDescent="0.25">
      <c r="A53" s="54"/>
      <c r="B53" s="55" t="s">
        <v>21</v>
      </c>
      <c r="C53" s="55"/>
      <c r="D53" s="70">
        <f>IF(C51/D51-1&lt;0,0,C51/D51-1)</f>
        <v>0</v>
      </c>
      <c r="E53" s="55"/>
    </row>
    <row r="54" spans="1:6" x14ac:dyDescent="0.25">
      <c r="A54" s="55"/>
      <c r="B54" s="55"/>
      <c r="C54" s="55"/>
      <c r="D54" s="58"/>
      <c r="E54" s="58"/>
    </row>
    <row r="55" spans="1:6" x14ac:dyDescent="0.25">
      <c r="A55" s="58" t="s">
        <v>4</v>
      </c>
      <c r="B55" s="55"/>
      <c r="C55" s="60">
        <f>D46</f>
        <v>9.9999999999999992E-2</v>
      </c>
      <c r="D55" s="59"/>
      <c r="E55" s="55"/>
    </row>
    <row r="56" spans="1:6" ht="16.5" thickBot="1" x14ac:dyDescent="0.3">
      <c r="A56" s="29"/>
      <c r="C56" s="79"/>
      <c r="D56" s="80"/>
    </row>
    <row r="57" spans="1:6" x14ac:dyDescent="0.25">
      <c r="A57" s="71" t="s">
        <v>31</v>
      </c>
      <c r="B57" s="30"/>
      <c r="C57" s="82">
        <v>18</v>
      </c>
      <c r="D57" s="30"/>
      <c r="E57" s="31"/>
    </row>
    <row r="58" spans="1:6" x14ac:dyDescent="0.25">
      <c r="A58" s="32"/>
      <c r="B58" s="33"/>
      <c r="C58" s="83"/>
      <c r="D58" s="33"/>
      <c r="E58" s="34"/>
    </row>
    <row r="59" spans="1:6" x14ac:dyDescent="0.25">
      <c r="A59" s="32" t="s">
        <v>24</v>
      </c>
      <c r="B59" s="33"/>
      <c r="C59" s="83"/>
      <c r="D59" s="33"/>
      <c r="E59" s="72">
        <f>R15*C57*1000</f>
        <v>239936.85369716087</v>
      </c>
    </row>
    <row r="60" spans="1:6" x14ac:dyDescent="0.25">
      <c r="A60" s="32"/>
      <c r="B60" s="33"/>
      <c r="C60" s="83"/>
      <c r="D60" s="33"/>
      <c r="E60" s="34"/>
    </row>
    <row r="61" spans="1:6" x14ac:dyDescent="0.25">
      <c r="A61" s="32" t="s">
        <v>25</v>
      </c>
      <c r="B61" s="33"/>
      <c r="C61" s="84">
        <v>0.5</v>
      </c>
      <c r="D61" s="33"/>
      <c r="E61" s="34"/>
    </row>
    <row r="62" spans="1:6" x14ac:dyDescent="0.25">
      <c r="A62" s="32"/>
      <c r="B62" s="33"/>
      <c r="C62" s="33"/>
      <c r="D62" s="33"/>
      <c r="E62" s="34"/>
    </row>
    <row r="63" spans="1:6" x14ac:dyDescent="0.25">
      <c r="A63" s="32" t="s">
        <v>26</v>
      </c>
      <c r="B63" s="33"/>
      <c r="C63" s="33"/>
      <c r="D63" s="33"/>
      <c r="E63" s="72">
        <f>SUM(H15:R15)*C61*1000</f>
        <v>55536.142851449964</v>
      </c>
    </row>
    <row r="64" spans="1:6" x14ac:dyDescent="0.25">
      <c r="A64" s="32"/>
      <c r="B64" s="33"/>
      <c r="C64" s="33"/>
      <c r="D64" s="33"/>
      <c r="E64" s="73"/>
    </row>
    <row r="65" spans="1:5" x14ac:dyDescent="0.25">
      <c r="A65" s="74" t="s">
        <v>27</v>
      </c>
      <c r="B65" s="33"/>
      <c r="C65" s="33"/>
      <c r="D65" s="33"/>
      <c r="E65" s="75">
        <f>(E63*0.25)*-1</f>
        <v>-13884.035712862491</v>
      </c>
    </row>
    <row r="66" spans="1:5" x14ac:dyDescent="0.25">
      <c r="A66" s="32"/>
      <c r="B66" s="33"/>
      <c r="C66" s="52"/>
      <c r="D66" s="52"/>
      <c r="E66" s="76"/>
    </row>
    <row r="67" spans="1:5" x14ac:dyDescent="0.25">
      <c r="A67" s="32" t="s">
        <v>28</v>
      </c>
      <c r="B67" s="33"/>
      <c r="C67" s="33"/>
      <c r="D67" s="33"/>
      <c r="E67" s="72">
        <f>SUM(E59:E65)</f>
        <v>281588.96083574835</v>
      </c>
    </row>
    <row r="68" spans="1:5" x14ac:dyDescent="0.25">
      <c r="A68" s="32"/>
      <c r="B68" s="33"/>
      <c r="C68" s="33"/>
      <c r="D68" s="33"/>
      <c r="E68" s="72"/>
    </row>
    <row r="69" spans="1:5" x14ac:dyDescent="0.25">
      <c r="A69" s="32" t="s">
        <v>29</v>
      </c>
      <c r="B69" s="33"/>
      <c r="C69" s="33"/>
      <c r="D69" s="33"/>
      <c r="E69" s="76">
        <f>E67/C49-1</f>
        <v>1.8745583379394084</v>
      </c>
    </row>
    <row r="70" spans="1:5" x14ac:dyDescent="0.25">
      <c r="A70" s="32"/>
      <c r="B70" s="33"/>
      <c r="C70" s="33"/>
      <c r="D70" s="33"/>
      <c r="E70" s="34"/>
    </row>
    <row r="71" spans="1:5" ht="16.5" thickBot="1" x14ac:dyDescent="0.3">
      <c r="A71" s="77" t="s">
        <v>30</v>
      </c>
      <c r="B71" s="78"/>
      <c r="C71" s="78"/>
      <c r="D71" s="78"/>
      <c r="E71" s="81">
        <f>(E67/C49)^(1/10)-1</f>
        <v>0.11136601637768084</v>
      </c>
    </row>
  </sheetData>
  <conditionalFormatting sqref="L6:L8">
    <cfRule type="top10" dxfId="7" priority="6" percent="1" rank="10"/>
  </conditionalFormatting>
  <conditionalFormatting sqref="G6:J8">
    <cfRule type="top10" dxfId="6" priority="5" percent="1" rank="10"/>
  </conditionalFormatting>
  <conditionalFormatting sqref="L9">
    <cfRule type="top10" dxfId="5" priority="4" percent="1" rank="10"/>
  </conditionalFormatting>
  <conditionalFormatting sqref="L2:L5">
    <cfRule type="top10" dxfId="4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26.10.2021</vt:lpstr>
      <vt:lpstr>Pessimistisch</vt:lpstr>
      <vt:lpstr>Optimistisch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Jakob</dc:creator>
  <cp:lastModifiedBy>chris_grca1ny</cp:lastModifiedBy>
  <cp:lastPrinted>2021-08-03T18:16:56Z</cp:lastPrinted>
  <dcterms:created xsi:type="dcterms:W3CDTF">2020-02-09T06:30:31Z</dcterms:created>
  <dcterms:modified xsi:type="dcterms:W3CDTF">2021-10-26T14:58:56Z</dcterms:modified>
</cp:coreProperties>
</file>