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Ping An\"/>
    </mc:Choice>
  </mc:AlternateContent>
  <bookViews>
    <workbookView xWindow="0" yWindow="0" windowWidth="28800" windowHeight="12330" activeTab="1"/>
  </bookViews>
  <sheets>
    <sheet name="Pessimistisch" sheetId="16" r:id="rId1"/>
    <sheet name="Optimistisch" sheetId="15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6" l="1"/>
  <c r="I15" i="16"/>
  <c r="J14" i="16"/>
  <c r="J15" i="16"/>
  <c r="K14" i="16"/>
  <c r="K15" i="16"/>
  <c r="H11" i="16"/>
  <c r="I11" i="16"/>
  <c r="J11" i="16"/>
  <c r="K11" i="16"/>
  <c r="L11" i="16"/>
  <c r="M11" i="16"/>
  <c r="N11" i="16"/>
  <c r="O11" i="16"/>
  <c r="P11" i="16"/>
  <c r="Q11" i="16"/>
  <c r="R11" i="16"/>
  <c r="R14" i="16"/>
  <c r="R15" i="16"/>
  <c r="E59" i="16"/>
  <c r="H15" i="16"/>
  <c r="L14" i="16"/>
  <c r="M14" i="16"/>
  <c r="N14" i="16"/>
  <c r="N15" i="16"/>
  <c r="O14" i="16"/>
  <c r="O15" i="16"/>
  <c r="P14" i="16"/>
  <c r="P15" i="16"/>
  <c r="Q14" i="16"/>
  <c r="Q15" i="16"/>
  <c r="E63" i="16"/>
  <c r="E65" i="16"/>
  <c r="E67" i="16"/>
  <c r="C49" i="16"/>
  <c r="E71" i="16"/>
  <c r="E69" i="16"/>
  <c r="D30" i="16"/>
  <c r="D46" i="16"/>
  <c r="C55" i="16"/>
  <c r="H19" i="16"/>
  <c r="I19" i="16"/>
  <c r="J19" i="16"/>
  <c r="K19" i="16"/>
  <c r="L19" i="16"/>
  <c r="M19" i="16"/>
  <c r="N19" i="16"/>
  <c r="O19" i="16"/>
  <c r="P19" i="16"/>
  <c r="Q19" i="16"/>
  <c r="R19" i="16"/>
  <c r="D49" i="16"/>
  <c r="D50" i="16"/>
  <c r="D51" i="16"/>
  <c r="D53" i="16"/>
  <c r="D52" i="16"/>
  <c r="D44" i="16"/>
  <c r="D43" i="16"/>
  <c r="D42" i="16"/>
  <c r="D41" i="16"/>
  <c r="D40" i="16"/>
  <c r="K16" i="16"/>
  <c r="J16" i="16"/>
  <c r="I16" i="16"/>
  <c r="H14" i="16"/>
  <c r="H16" i="16"/>
  <c r="G15" i="16"/>
  <c r="F15" i="16"/>
  <c r="E15" i="16"/>
  <c r="G14" i="16"/>
  <c r="F14" i="16"/>
  <c r="E14" i="16"/>
  <c r="G12" i="16"/>
  <c r="F12" i="16"/>
  <c r="E12" i="16"/>
  <c r="K11" i="15"/>
  <c r="K14" i="15"/>
  <c r="K15" i="15"/>
  <c r="J15" i="15"/>
  <c r="I15" i="15"/>
  <c r="H15" i="15"/>
  <c r="G15" i="15"/>
  <c r="G14" i="15"/>
  <c r="F15" i="15"/>
  <c r="E15" i="15"/>
  <c r="C49" i="15"/>
  <c r="D30" i="15"/>
  <c r="D46" i="15"/>
  <c r="C55" i="15"/>
  <c r="H19" i="15"/>
  <c r="I19" i="15"/>
  <c r="J19" i="15"/>
  <c r="D50" i="15"/>
  <c r="J14" i="15"/>
  <c r="J16" i="15"/>
  <c r="I14" i="15"/>
  <c r="I16" i="15"/>
  <c r="H14" i="15"/>
  <c r="H16" i="15"/>
  <c r="F14" i="15"/>
  <c r="E14" i="15"/>
  <c r="J12" i="15"/>
  <c r="I12" i="15"/>
  <c r="H12" i="15"/>
  <c r="G12" i="15"/>
  <c r="F12" i="15"/>
  <c r="E12" i="15"/>
  <c r="L11" i="15"/>
  <c r="L14" i="15"/>
  <c r="L15" i="15"/>
  <c r="M11" i="15"/>
  <c r="M14" i="15"/>
  <c r="M15" i="15"/>
  <c r="N11" i="15"/>
  <c r="N14" i="15"/>
  <c r="N15" i="15"/>
  <c r="O11" i="15"/>
  <c r="O14" i="15"/>
  <c r="O15" i="15"/>
  <c r="P11" i="15"/>
  <c r="P14" i="15"/>
  <c r="P15" i="15"/>
  <c r="Q11" i="15"/>
  <c r="Q14" i="15"/>
  <c r="Q15" i="15"/>
  <c r="R11" i="15"/>
  <c r="R14" i="15"/>
  <c r="R15" i="15"/>
  <c r="E63" i="15"/>
  <c r="E65" i="15"/>
  <c r="E59" i="15"/>
  <c r="E67" i="15"/>
  <c r="E71" i="15"/>
  <c r="E69" i="15"/>
  <c r="L19" i="15"/>
  <c r="M19" i="15"/>
  <c r="N19" i="15"/>
  <c r="O19" i="15"/>
  <c r="P19" i="15"/>
  <c r="Q19" i="15"/>
  <c r="R19" i="15"/>
  <c r="K19" i="15"/>
  <c r="D49" i="15"/>
  <c r="D51" i="15"/>
  <c r="D53" i="15"/>
  <c r="D52" i="15"/>
  <c r="D44" i="15"/>
  <c r="D43" i="15"/>
  <c r="D42" i="15"/>
  <c r="D41" i="15"/>
  <c r="D40" i="15"/>
  <c r="K16" i="15"/>
</calcChain>
</file>

<file path=xl/sharedStrings.xml><?xml version="1.0" encoding="utf-8"?>
<sst xmlns="http://schemas.openxmlformats.org/spreadsheetml/2006/main" count="82" uniqueCount="40">
  <si>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</si>
  <si>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</si>
  <si>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</si>
  <si>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</si>
  <si>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</si>
  <si>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</si>
  <si>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</si>
  <si>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</si>
  <si>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</si>
  <si>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</si>
  <si>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</si>
  <si>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</si>
  <si>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</si>
  <si>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</si>
  <si>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</si>
  <si>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</si>
  <si>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</si>
  <si>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</si>
  <si>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</si>
  <si>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</si>
  <si>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</si>
  <si>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</si>
  <si>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</si>
  <si>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</si>
  <si>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</si>
  <si>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</si>
  <si>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</si>
  <si>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</si>
  <si>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</si>
  <si>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(ab 2025)</t>
  </si>
  <si>
    <t>EK-Zins</t>
  </si>
  <si>
    <t>Alle Angaben in Mio. HKD</t>
  </si>
  <si>
    <t xml:space="preserve">Pessimistische Annahmen für Ping An </t>
  </si>
  <si>
    <t>HKD</t>
  </si>
  <si>
    <t>Versicherungsmarkt</t>
  </si>
  <si>
    <t>Sicherheitszuschlag auf Grundlage China</t>
  </si>
  <si>
    <t>30 % Abschlag vom EBIT für Zins und Steuern</t>
  </si>
  <si>
    <t xml:space="preserve">sehr gering, aber "normal" für Versicherungsgesellschaften </t>
  </si>
  <si>
    <t xml:space="preserve">Optimistische Annahmen für Ping An </t>
  </si>
  <si>
    <t>Gewinn (30% Zinsen/Steuern/sonstiges)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</si>
</sst>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#,##0.0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6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201195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614737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16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12</v>
      </c>
    </row>
    <row r="4" spans="1:28" x14ac:dyDescent="0.25">
      <c r="B4" s="29" t="s">
        <v>32</v>
      </c>
      <c r="L4" s="33"/>
      <c r="M4" s="33"/>
      <c r="N4" s="33"/>
      <c r="O4" s="33"/>
      <c r="P4" s="33"/>
      <c r="Q4" s="33"/>
      <c r="R4" s="33"/>
      <c r="S4" s="33"/>
    </row>
    <row r="5" spans="1:28" x14ac:dyDescent="0.25">
      <c r="L5" s="33"/>
      <c r="M5" s="33"/>
      <c r="N5" s="33"/>
      <c r="O5" s="33"/>
      <c r="P5" s="33"/>
      <c r="Q5" s="33"/>
      <c r="R5" s="33"/>
      <c r="S5" s="33"/>
    </row>
    <row r="6" spans="1:28" x14ac:dyDescent="0.25">
      <c r="B6" s="1" t="s">
        <v>31</v>
      </c>
      <c r="L6" s="33"/>
      <c r="M6" s="33"/>
      <c r="N6" s="33"/>
      <c r="O6" s="33"/>
      <c r="P6" s="33"/>
      <c r="Q6" s="33"/>
      <c r="R6" s="33"/>
      <c r="S6" s="33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7">
        <v>2021</v>
      </c>
      <c r="I10" s="67">
        <v>2022</v>
      </c>
      <c r="J10" s="67">
        <v>2023</v>
      </c>
      <c r="K10" s="67">
        <v>2024</v>
      </c>
      <c r="L10" s="67">
        <v>2025</v>
      </c>
      <c r="M10" s="67">
        <v>2026</v>
      </c>
      <c r="N10" s="67">
        <v>2027</v>
      </c>
      <c r="O10" s="67">
        <v>2028</v>
      </c>
      <c r="P10" s="67">
        <v>2029</v>
      </c>
      <c r="Q10" s="67">
        <v>2030</v>
      </c>
      <c r="R10" s="66" t="s">
        <v>16</v>
      </c>
    </row>
    <row r="11" spans="1:28" x14ac:dyDescent="0.25">
      <c r="A11" s="5"/>
      <c r="B11" s="4" t="s">
        <v>4</v>
      </c>
      <c r="C11" s="12"/>
      <c r="D11" s="12"/>
      <c r="E11" s="12">
        <v>1274036.51</v>
      </c>
      <c r="F11" s="12">
        <v>1248578</v>
      </c>
      <c r="G11" s="12">
        <v>1352313.28</v>
      </c>
      <c r="H11" s="16">
        <f t="shared" ref="H11:K11" si="0">G11*(1+H12)</f>
        <v>1392882.6784000001</v>
      </c>
      <c r="I11" s="16">
        <f t="shared" si="0"/>
        <v>1434669.1587520002</v>
      </c>
      <c r="J11" s="16">
        <f t="shared" si="0"/>
        <v>1492055.9251020802</v>
      </c>
      <c r="K11" s="16">
        <f t="shared" si="0"/>
        <v>1536817.6028551427</v>
      </c>
      <c r="L11" s="16">
        <f>K11*(1+L12)</f>
        <v>1444608.5466838339</v>
      </c>
      <c r="M11" s="16">
        <f>L11*(1+M12)</f>
        <v>1415716.3757501573</v>
      </c>
      <c r="N11" s="16">
        <f t="shared" ref="N11:R11" si="1">M11*(1+N12)</f>
        <v>1528973.6858101699</v>
      </c>
      <c r="O11" s="16">
        <f t="shared" si="1"/>
        <v>1437235.2646615596</v>
      </c>
      <c r="P11" s="16">
        <f t="shared" si="1"/>
        <v>1509097.0278946375</v>
      </c>
      <c r="Q11" s="16">
        <f t="shared" si="1"/>
        <v>1539278.9684525302</v>
      </c>
      <c r="R11" s="16">
        <f t="shared" si="1"/>
        <v>1570064.5478215809</v>
      </c>
    </row>
    <row r="12" spans="1:28" x14ac:dyDescent="0.25">
      <c r="A12" s="5"/>
      <c r="B12" s="4" t="s">
        <v>1</v>
      </c>
      <c r="C12" s="13"/>
      <c r="D12" s="13"/>
      <c r="E12" s="13" t="e">
        <f t="shared" ref="E12:F12" si="2">E11/D11-1</f>
        <v>#DIV/0!</v>
      </c>
      <c r="F12" s="13">
        <f t="shared" si="2"/>
        <v>-1.9982559212530004E-2</v>
      </c>
      <c r="G12" s="13">
        <f>G11/F11-1</f>
        <v>8.3082738923799804E-2</v>
      </c>
      <c r="H12" s="68">
        <v>0.03</v>
      </c>
      <c r="I12" s="68">
        <v>0.03</v>
      </c>
      <c r="J12" s="68">
        <v>0.04</v>
      </c>
      <c r="K12" s="68">
        <v>0.03</v>
      </c>
      <c r="L12" s="68">
        <v>-0.06</v>
      </c>
      <c r="M12" s="17">
        <v>-0.02</v>
      </c>
      <c r="N12" s="17">
        <v>0.08</v>
      </c>
      <c r="O12" s="17">
        <v>-0.06</v>
      </c>
      <c r="P12" s="17">
        <v>0.05</v>
      </c>
      <c r="Q12" s="17">
        <v>0.02</v>
      </c>
      <c r="R12" s="17">
        <v>0.02</v>
      </c>
    </row>
    <row r="13" spans="1:28" ht="15.95" customHeight="1" x14ac:dyDescent="0.25">
      <c r="A13" s="5"/>
      <c r="B13" s="4" t="s">
        <v>18</v>
      </c>
      <c r="C13" s="13"/>
      <c r="D13" s="13"/>
      <c r="E13" s="13">
        <v>0.2351</v>
      </c>
      <c r="F13" s="13">
        <v>0.2011</v>
      </c>
      <c r="G13" s="13">
        <v>0.21529999999999999</v>
      </c>
      <c r="H13" s="68">
        <v>0.15820000000000001</v>
      </c>
      <c r="I13" s="68">
        <v>0.17</v>
      </c>
      <c r="J13" s="68">
        <v>0.17</v>
      </c>
      <c r="K13" s="68">
        <v>0.18</v>
      </c>
      <c r="L13" s="68">
        <v>0.03</v>
      </c>
      <c r="M13" s="68">
        <v>0.12</v>
      </c>
      <c r="N13" s="68">
        <v>0.18</v>
      </c>
      <c r="O13" s="68">
        <v>0.1</v>
      </c>
      <c r="P13" s="68">
        <v>0.18</v>
      </c>
      <c r="Q13" s="68">
        <v>0.18</v>
      </c>
      <c r="R13" s="68">
        <v>0.18</v>
      </c>
    </row>
    <row r="14" spans="1:28" ht="17.100000000000001" customHeight="1" x14ac:dyDescent="0.25">
      <c r="A14" s="5"/>
      <c r="B14" s="4" t="s">
        <v>19</v>
      </c>
      <c r="C14" s="12"/>
      <c r="D14" s="12"/>
      <c r="E14" s="12">
        <f t="shared" ref="E14:F14" si="3">E13*E11</f>
        <v>299525.98350099998</v>
      </c>
      <c r="F14" s="12">
        <f t="shared" si="3"/>
        <v>251089.03580000001</v>
      </c>
      <c r="G14" s="12">
        <f>G13*G11</f>
        <v>291153.049184</v>
      </c>
      <c r="H14" s="16">
        <f>H11*H13</f>
        <v>220354.03972288003</v>
      </c>
      <c r="I14" s="16">
        <f>I11*I13</f>
        <v>243893.75698784005</v>
      </c>
      <c r="J14" s="16">
        <f>J11*J13</f>
        <v>253649.50726735365</v>
      </c>
      <c r="K14" s="16">
        <f>K11*K13</f>
        <v>276627.16851392569</v>
      </c>
      <c r="L14" s="16">
        <f t="shared" ref="L14:R14" si="4">L11*L13</f>
        <v>43338.25640051502</v>
      </c>
      <c r="M14" s="16">
        <f t="shared" si="4"/>
        <v>169885.96509001887</v>
      </c>
      <c r="N14" s="16">
        <f t="shared" si="4"/>
        <v>275215.26344583055</v>
      </c>
      <c r="O14" s="16">
        <f>O11*O13</f>
        <v>143723.52646615598</v>
      </c>
      <c r="P14" s="16">
        <f t="shared" si="4"/>
        <v>271637.46502103476</v>
      </c>
      <c r="Q14" s="16">
        <f t="shared" si="4"/>
        <v>277070.21432145545</v>
      </c>
      <c r="R14" s="16">
        <f t="shared" si="4"/>
        <v>282611.61860788456</v>
      </c>
    </row>
    <row r="15" spans="1:28" ht="16.5" thickBot="1" x14ac:dyDescent="0.3">
      <c r="A15" s="15">
        <v>0.3</v>
      </c>
      <c r="B15" s="4" t="s">
        <v>39</v>
      </c>
      <c r="C15" s="14"/>
      <c r="D15" s="12"/>
      <c r="E15" s="12">
        <f>E11*0.099</f>
        <v>126129.61449000001</v>
      </c>
      <c r="F15" s="12">
        <f>F11*0.1357</f>
        <v>169432.03459999998</v>
      </c>
      <c r="G15" s="12">
        <f>G11*0.1189</f>
        <v>160790.04899200003</v>
      </c>
      <c r="H15" s="16">
        <f>H11*0.1154</f>
        <v>160738.66108736</v>
      </c>
      <c r="I15" s="16">
        <f t="shared" ref="I15:Q15" si="5">I14*(1-$A$15)</f>
        <v>170725.62989148803</v>
      </c>
      <c r="J15" s="16">
        <f t="shared" si="5"/>
        <v>177554.65508714755</v>
      </c>
      <c r="K15" s="16">
        <f t="shared" si="5"/>
        <v>193639.01795974796</v>
      </c>
      <c r="L15" s="16">
        <v>-80000</v>
      </c>
      <c r="M15" s="16">
        <v>80000</v>
      </c>
      <c r="N15" s="16">
        <f t="shared" si="5"/>
        <v>192650.68441208138</v>
      </c>
      <c r="O15" s="16">
        <f t="shared" si="5"/>
        <v>100606.46852630918</v>
      </c>
      <c r="P15" s="16">
        <f t="shared" si="5"/>
        <v>190146.22551472433</v>
      </c>
      <c r="Q15" s="16">
        <f t="shared" si="5"/>
        <v>193949.15002501881</v>
      </c>
      <c r="R15" s="16">
        <f>R14*(1-$A$15)</f>
        <v>197828.13302551917</v>
      </c>
    </row>
    <row r="16" spans="1:28" ht="32.25" thickBot="1" x14ac:dyDescent="0.3">
      <c r="A16" s="18" t="s">
        <v>6</v>
      </c>
      <c r="B16" s="19"/>
      <c r="C16" s="20"/>
      <c r="D16" s="20"/>
      <c r="E16" s="21"/>
      <c r="F16" s="21"/>
      <c r="G16" s="21"/>
      <c r="H16" s="21">
        <f t="shared" ref="H16:K16" si="6">H15/H14</f>
        <v>0.72945638432364091</v>
      </c>
      <c r="I16" s="21">
        <f t="shared" si="6"/>
        <v>0.7</v>
      </c>
      <c r="J16" s="21">
        <f t="shared" si="6"/>
        <v>0.7</v>
      </c>
      <c r="K16" s="21">
        <f t="shared" si="6"/>
        <v>0.7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2" t="s">
        <v>14</v>
      </c>
      <c r="G19" s="63"/>
      <c r="H19" s="64">
        <f>H15/(1+$C$55)</f>
        <v>142246.60273217701</v>
      </c>
      <c r="I19" s="64">
        <f>I15/(1+$C$55)^2</f>
        <v>133703.21081642108</v>
      </c>
      <c r="J19" s="64">
        <f>J15/(1+$C$55)^3</f>
        <v>123054.2825213079</v>
      </c>
      <c r="K19" s="64">
        <f>K15/(1+$C$55)^4</f>
        <v>118762.43612415662</v>
      </c>
      <c r="L19" s="64">
        <f>L15/(1+$C$55)^5</f>
        <v>-43420.794879955887</v>
      </c>
      <c r="M19" s="64">
        <f>M15/(1+$C$55)^6</f>
        <v>38425.482194651238</v>
      </c>
      <c r="N19" s="64">
        <f>N15/(1+$C$55)^7</f>
        <v>81888.22393433415</v>
      </c>
      <c r="O19" s="64">
        <f>O15/(1+$C$55)^8</f>
        <v>37844.115289220317</v>
      </c>
      <c r="P19" s="64">
        <f>P15/(1+$C$55)^9</f>
        <v>63296.794598784421</v>
      </c>
      <c r="Q19" s="64">
        <f>Q15/(1+$C$55)^10</f>
        <v>57135.159726336387</v>
      </c>
      <c r="R19" s="65">
        <f>(R15/(C55-R12))/(1+C55)^10</f>
        <v>529798.75382602832</v>
      </c>
    </row>
    <row r="20" spans="1:18" x14ac:dyDescent="0.25">
      <c r="A20" s="2"/>
      <c r="C20" s="1" t="s">
        <v>36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28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7</v>
      </c>
      <c r="B25" s="44" t="s">
        <v>34</v>
      </c>
      <c r="C25" s="44"/>
      <c r="D25" s="46">
        <v>8.5000000000000006E-2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0.03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8</v>
      </c>
      <c r="C30" s="44"/>
      <c r="D30" s="48">
        <f>D25+D26+D27</f>
        <v>0.115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9</v>
      </c>
      <c r="B34" s="44" t="s">
        <v>37</v>
      </c>
      <c r="C34" s="50"/>
      <c r="D34" s="35">
        <v>1.4999999999999999E-2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10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30</v>
      </c>
      <c r="C46" s="37"/>
      <c r="D46" s="53">
        <f>D30+D34</f>
        <v>0.13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44498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5</v>
      </c>
      <c r="C49" s="56">
        <f>C50*C51</f>
        <v>1014772.6004</v>
      </c>
      <c r="D49" s="57">
        <f>SUM(H19:R19)</f>
        <v>1282734.2668834617</v>
      </c>
      <c r="E49" s="55" t="s">
        <v>33</v>
      </c>
    </row>
    <row r="50" spans="1:5" x14ac:dyDescent="0.25">
      <c r="A50" s="54"/>
      <c r="B50" s="55" t="s">
        <v>13</v>
      </c>
      <c r="C50" s="56">
        <v>18153.356</v>
      </c>
      <c r="D50" s="56">
        <f>C50</f>
        <v>18153.356</v>
      </c>
      <c r="E50" s="55"/>
    </row>
    <row r="51" spans="1:5" x14ac:dyDescent="0.25">
      <c r="A51" s="54"/>
      <c r="B51" s="55" t="s">
        <v>15</v>
      </c>
      <c r="C51" s="69">
        <v>55.9</v>
      </c>
      <c r="D51" s="58">
        <f>D49/(D50)</f>
        <v>70.660998819362206</v>
      </c>
      <c r="E51" s="55" t="s">
        <v>33</v>
      </c>
    </row>
    <row r="52" spans="1:5" x14ac:dyDescent="0.25">
      <c r="A52" s="54"/>
      <c r="B52" s="55" t="s">
        <v>2</v>
      </c>
      <c r="C52" s="55"/>
      <c r="D52" s="70">
        <f>IF(C51/D51-1&gt;0,0,C51/D51-1)</f>
        <v>-0.20889881357461737</v>
      </c>
      <c r="E52" s="55"/>
    </row>
    <row r="53" spans="1:5" x14ac:dyDescent="0.25">
      <c r="A53" s="54"/>
      <c r="B53" s="55" t="s">
        <v>17</v>
      </c>
      <c r="C53" s="55"/>
      <c r="D53" s="71">
        <f>IF(C51/D51-1&lt;0,0,C51/D51-1)</f>
        <v>0</v>
      </c>
      <c r="E53" s="55"/>
    </row>
    <row r="54" spans="1:5" x14ac:dyDescent="0.25">
      <c r="A54" s="55"/>
      <c r="B54" s="55"/>
      <c r="C54" s="55"/>
      <c r="D54" s="59"/>
      <c r="E54" s="59"/>
    </row>
    <row r="55" spans="1:5" x14ac:dyDescent="0.25">
      <c r="A55" s="59" t="s">
        <v>28</v>
      </c>
      <c r="B55" s="55"/>
      <c r="C55" s="61">
        <f>D46</f>
        <v>0.13</v>
      </c>
      <c r="D55" s="60"/>
      <c r="E55" s="55"/>
    </row>
    <row r="56" spans="1:5" ht="16.5" thickBot="1" x14ac:dyDescent="0.3">
      <c r="A56" s="29"/>
      <c r="C56" s="80"/>
      <c r="D56" s="81"/>
    </row>
    <row r="57" spans="1:5" x14ac:dyDescent="0.25">
      <c r="A57" s="72" t="s">
        <v>27</v>
      </c>
      <c r="B57" s="30"/>
      <c r="C57" s="83">
        <v>6</v>
      </c>
      <c r="D57" s="30"/>
      <c r="E57" s="31"/>
    </row>
    <row r="58" spans="1:5" x14ac:dyDescent="0.25">
      <c r="A58" s="32"/>
      <c r="B58" s="33"/>
      <c r="C58" s="84"/>
      <c r="D58" s="33"/>
      <c r="E58" s="34"/>
    </row>
    <row r="59" spans="1:5" x14ac:dyDescent="0.25">
      <c r="A59" s="32" t="s">
        <v>20</v>
      </c>
      <c r="B59" s="33"/>
      <c r="C59" s="84"/>
      <c r="D59" s="33"/>
      <c r="E59" s="73">
        <f>R15*C57</f>
        <v>1186968.798153115</v>
      </c>
    </row>
    <row r="60" spans="1:5" x14ac:dyDescent="0.25">
      <c r="A60" s="32"/>
      <c r="B60" s="33"/>
      <c r="C60" s="84"/>
      <c r="D60" s="33"/>
      <c r="E60" s="34"/>
    </row>
    <row r="61" spans="1:5" x14ac:dyDescent="0.25">
      <c r="A61" s="32" t="s">
        <v>21</v>
      </c>
      <c r="B61" s="33"/>
      <c r="C61" s="85">
        <v>0.4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22</v>
      </c>
      <c r="B63" s="33"/>
      <c r="C63" s="33"/>
      <c r="D63" s="33"/>
      <c r="E63" s="73">
        <f>SUM(H15:R15)*C61</f>
        <v>631135.45021175861</v>
      </c>
    </row>
    <row r="64" spans="1:5" x14ac:dyDescent="0.25">
      <c r="A64" s="32"/>
      <c r="B64" s="33"/>
      <c r="C64" s="33"/>
      <c r="D64" s="33"/>
      <c r="E64" s="74"/>
    </row>
    <row r="65" spans="1:5" x14ac:dyDescent="0.25">
      <c r="A65" s="75" t="s">
        <v>23</v>
      </c>
      <c r="B65" s="33"/>
      <c r="C65" s="33"/>
      <c r="D65" s="33"/>
      <c r="E65" s="76">
        <f>(E63*0.25)*-1</f>
        <v>-157783.86255293965</v>
      </c>
    </row>
    <row r="66" spans="1:5" x14ac:dyDescent="0.25">
      <c r="A66" s="32"/>
      <c r="B66" s="33"/>
      <c r="C66" s="52"/>
      <c r="D66" s="52"/>
      <c r="E66" s="77"/>
    </row>
    <row r="67" spans="1:5" x14ac:dyDescent="0.25">
      <c r="A67" s="32" t="s">
        <v>24</v>
      </c>
      <c r="B67" s="33"/>
      <c r="C67" s="33"/>
      <c r="D67" s="33"/>
      <c r="E67" s="73">
        <f>SUM(E59:E65)</f>
        <v>1660320.385811934</v>
      </c>
    </row>
    <row r="68" spans="1:5" x14ac:dyDescent="0.25">
      <c r="A68" s="32"/>
      <c r="B68" s="33"/>
      <c r="C68" s="33"/>
      <c r="D68" s="33"/>
      <c r="E68" s="73"/>
    </row>
    <row r="69" spans="1:5" x14ac:dyDescent="0.25">
      <c r="A69" s="32" t="s">
        <v>25</v>
      </c>
      <c r="B69" s="33"/>
      <c r="C69" s="33"/>
      <c r="D69" s="33"/>
      <c r="E69" s="77">
        <f>E67/C49-1</f>
        <v>0.6361501928190354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8" t="s">
        <v>26</v>
      </c>
      <c r="B71" s="79"/>
      <c r="C71" s="79"/>
      <c r="D71" s="79"/>
      <c r="E71" s="82">
        <f>(E67/C49)^(1/10)-1</f>
        <v>5.0466765420136062E-2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topLeftCell="A22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12</v>
      </c>
    </row>
    <row r="4" spans="1:28" x14ac:dyDescent="0.25">
      <c r="B4" s="29" t="s">
        <v>38</v>
      </c>
      <c r="L4" s="33"/>
      <c r="M4" s="33"/>
      <c r="N4" s="33"/>
      <c r="O4" s="33"/>
      <c r="P4" s="33"/>
      <c r="Q4" s="33"/>
      <c r="R4" s="33"/>
      <c r="S4" s="33"/>
    </row>
    <row r="5" spans="1:28" x14ac:dyDescent="0.25">
      <c r="L5" s="33"/>
      <c r="M5" s="33"/>
      <c r="N5" s="33"/>
      <c r="O5" s="33"/>
      <c r="P5" s="33"/>
      <c r="Q5" s="33"/>
      <c r="R5" s="33"/>
      <c r="S5" s="33"/>
    </row>
    <row r="6" spans="1:28" x14ac:dyDescent="0.25">
      <c r="B6" s="1" t="s">
        <v>31</v>
      </c>
      <c r="L6" s="33"/>
      <c r="M6" s="33"/>
      <c r="N6" s="33"/>
      <c r="O6" s="33"/>
      <c r="P6" s="33"/>
      <c r="Q6" s="33"/>
      <c r="R6" s="33"/>
      <c r="S6" s="33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7">
        <v>2021</v>
      </c>
      <c r="I10" s="67">
        <v>2022</v>
      </c>
      <c r="J10" s="67">
        <v>2023</v>
      </c>
      <c r="K10" s="67">
        <v>2024</v>
      </c>
      <c r="L10" s="67">
        <v>2025</v>
      </c>
      <c r="M10" s="67">
        <v>2026</v>
      </c>
      <c r="N10" s="67">
        <v>2027</v>
      </c>
      <c r="O10" s="67">
        <v>2028</v>
      </c>
      <c r="P10" s="67">
        <v>2029</v>
      </c>
      <c r="Q10" s="67">
        <v>2030</v>
      </c>
      <c r="R10" s="66" t="s">
        <v>16</v>
      </c>
    </row>
    <row r="11" spans="1:28" x14ac:dyDescent="0.25">
      <c r="A11" s="5"/>
      <c r="B11" s="4" t="s">
        <v>4</v>
      </c>
      <c r="C11" s="12"/>
      <c r="D11" s="12"/>
      <c r="E11" s="12">
        <v>1274036.51</v>
      </c>
      <c r="F11" s="12">
        <v>1248578</v>
      </c>
      <c r="G11" s="12">
        <v>1352313.28</v>
      </c>
      <c r="H11" s="16">
        <v>1401350.85</v>
      </c>
      <c r="I11" s="16">
        <v>1467639</v>
      </c>
      <c r="J11" s="16">
        <v>1557383</v>
      </c>
      <c r="K11" s="16">
        <f>J11*(1+K12)</f>
        <v>1619678.32</v>
      </c>
      <c r="L11" s="16">
        <f>K11*(1+L12)</f>
        <v>1554891.1872</v>
      </c>
      <c r="M11" s="16">
        <f>L11*(1+M12)</f>
        <v>1648184.6584320001</v>
      </c>
      <c r="N11" s="16">
        <f t="shared" ref="N11:R11" si="0">M11*(1+N12)</f>
        <v>1697630.1981849601</v>
      </c>
      <c r="O11" s="16">
        <f t="shared" si="0"/>
        <v>1629724.9902575617</v>
      </c>
      <c r="P11" s="16">
        <f t="shared" si="0"/>
        <v>1735657.1146243031</v>
      </c>
      <c r="Q11" s="16">
        <f t="shared" si="0"/>
        <v>1787726.8280630321</v>
      </c>
      <c r="R11" s="16">
        <f t="shared" si="0"/>
        <v>1823481.3646242928</v>
      </c>
    </row>
    <row r="12" spans="1:28" x14ac:dyDescent="0.25">
      <c r="A12" s="5"/>
      <c r="B12" s="4" t="s">
        <v>1</v>
      </c>
      <c r="C12" s="13"/>
      <c r="D12" s="13"/>
      <c r="E12" s="13" t="e">
        <f t="shared" ref="E12:F12" si="1">E11/D11-1</f>
        <v>#DIV/0!</v>
      </c>
      <c r="F12" s="13">
        <f t="shared" si="1"/>
        <v>-1.9982559212530004E-2</v>
      </c>
      <c r="G12" s="13">
        <f>G11/F11-1</f>
        <v>8.3082738923799804E-2</v>
      </c>
      <c r="H12" s="68">
        <f>H11/G11-1</f>
        <v>3.6261989529526861E-2</v>
      </c>
      <c r="I12" s="68">
        <f t="shared" ref="I12:J12" si="2">I11/H11-1</f>
        <v>4.7303036209668692E-2</v>
      </c>
      <c r="J12" s="68">
        <f t="shared" si="2"/>
        <v>6.1148552198462935E-2</v>
      </c>
      <c r="K12" s="68">
        <v>0.04</v>
      </c>
      <c r="L12" s="68">
        <v>-0.04</v>
      </c>
      <c r="M12" s="17">
        <v>0.06</v>
      </c>
      <c r="N12" s="17">
        <v>0.03</v>
      </c>
      <c r="O12" s="17">
        <v>-0.04</v>
      </c>
      <c r="P12" s="17">
        <v>6.5000000000000002E-2</v>
      </c>
      <c r="Q12" s="17">
        <v>0.03</v>
      </c>
      <c r="R12" s="17">
        <v>0.02</v>
      </c>
    </row>
    <row r="13" spans="1:28" ht="15.95" customHeight="1" x14ac:dyDescent="0.25">
      <c r="A13" s="5"/>
      <c r="B13" s="4" t="s">
        <v>18</v>
      </c>
      <c r="C13" s="13"/>
      <c r="D13" s="13"/>
      <c r="E13" s="13">
        <v>0.2351</v>
      </c>
      <c r="F13" s="13">
        <v>0.2011</v>
      </c>
      <c r="G13" s="13">
        <v>0.21529999999999999</v>
      </c>
      <c r="H13" s="68">
        <v>0.15820000000000001</v>
      </c>
      <c r="I13" s="68">
        <v>0.17100000000000001</v>
      </c>
      <c r="J13" s="68">
        <v>0.18779999999999999</v>
      </c>
      <c r="K13" s="68">
        <v>0.19</v>
      </c>
      <c r="L13" s="68">
        <v>0.17</v>
      </c>
      <c r="M13" s="68">
        <v>0.2</v>
      </c>
      <c r="N13" s="68">
        <v>0.2</v>
      </c>
      <c r="O13" s="68">
        <v>0.21</v>
      </c>
      <c r="P13" s="68">
        <v>0.22</v>
      </c>
      <c r="Q13" s="68">
        <v>0.22</v>
      </c>
      <c r="R13" s="68">
        <v>0.23</v>
      </c>
    </row>
    <row r="14" spans="1:28" ht="17.100000000000001" customHeight="1" x14ac:dyDescent="0.25">
      <c r="A14" s="5"/>
      <c r="B14" s="4" t="s">
        <v>19</v>
      </c>
      <c r="C14" s="12"/>
      <c r="D14" s="12"/>
      <c r="E14" s="12">
        <f t="shared" ref="E14:F14" si="3">E13*E11</f>
        <v>299525.98350099998</v>
      </c>
      <c r="F14" s="12">
        <f t="shared" si="3"/>
        <v>251089.03580000001</v>
      </c>
      <c r="G14" s="12">
        <f>G13*G11</f>
        <v>291153.049184</v>
      </c>
      <c r="H14" s="16">
        <f>H11*H13</f>
        <v>221693.70447000003</v>
      </c>
      <c r="I14" s="16">
        <f>I11*I13</f>
        <v>250966.26900000003</v>
      </c>
      <c r="J14" s="16">
        <f>J11*J13</f>
        <v>292476.52740000002</v>
      </c>
      <c r="K14" s="16">
        <f>K11*K13</f>
        <v>307738.88080000004</v>
      </c>
      <c r="L14" s="16">
        <f t="shared" ref="L14:R14" si="4">L11*L13</f>
        <v>264331.50182400004</v>
      </c>
      <c r="M14" s="16">
        <f t="shared" si="4"/>
        <v>329636.93168640003</v>
      </c>
      <c r="N14" s="16">
        <f t="shared" si="4"/>
        <v>339526.03963699203</v>
      </c>
      <c r="O14" s="16">
        <f>O11*O13</f>
        <v>342242.24795408791</v>
      </c>
      <c r="P14" s="16">
        <f t="shared" si="4"/>
        <v>381844.56521734665</v>
      </c>
      <c r="Q14" s="16">
        <f t="shared" si="4"/>
        <v>393299.90217386704</v>
      </c>
      <c r="R14" s="16">
        <f t="shared" si="4"/>
        <v>419400.71386358736</v>
      </c>
    </row>
    <row r="15" spans="1:28" ht="16.5" thickBot="1" x14ac:dyDescent="0.3">
      <c r="A15" s="15">
        <v>0.3</v>
      </c>
      <c r="B15" s="4" t="s">
        <v>39</v>
      </c>
      <c r="C15" s="14"/>
      <c r="D15" s="12"/>
      <c r="E15" s="12">
        <f>E11*0.099</f>
        <v>126129.61449000001</v>
      </c>
      <c r="F15" s="12">
        <f>F11*0.1357</f>
        <v>169432.03459999998</v>
      </c>
      <c r="G15" s="12">
        <f>G11*0.1189</f>
        <v>160790.04899200003</v>
      </c>
      <c r="H15" s="16">
        <f>H11*0.1154</f>
        <v>161715.88809000002</v>
      </c>
      <c r="I15" s="16">
        <f>I11*0.1325</f>
        <v>194462.16750000001</v>
      </c>
      <c r="J15" s="16">
        <f>J11*0.1413</f>
        <v>220058.21790000002</v>
      </c>
      <c r="K15" s="16">
        <f t="shared" ref="K15:Q15" si="5">K14*(1-$A$15)</f>
        <v>215417.21656000003</v>
      </c>
      <c r="L15" s="16">
        <f t="shared" si="5"/>
        <v>185032.05127680002</v>
      </c>
      <c r="M15" s="16">
        <f t="shared" si="5"/>
        <v>230745.85218048</v>
      </c>
      <c r="N15" s="16">
        <f t="shared" si="5"/>
        <v>237668.2277458944</v>
      </c>
      <c r="O15" s="16">
        <f t="shared" si="5"/>
        <v>239569.57356786152</v>
      </c>
      <c r="P15" s="16">
        <f t="shared" si="5"/>
        <v>267291.19565214263</v>
      </c>
      <c r="Q15" s="16">
        <f t="shared" si="5"/>
        <v>275309.93152170692</v>
      </c>
      <c r="R15" s="16">
        <f>R14*(1-$A$15)</f>
        <v>293580.49970451114</v>
      </c>
    </row>
    <row r="16" spans="1:28" ht="32.25" thickBot="1" x14ac:dyDescent="0.3">
      <c r="A16" s="18" t="s">
        <v>6</v>
      </c>
      <c r="B16" s="19"/>
      <c r="C16" s="20"/>
      <c r="D16" s="20"/>
      <c r="E16" s="21"/>
      <c r="F16" s="21"/>
      <c r="G16" s="21"/>
      <c r="H16" s="21">
        <f t="shared" ref="H16:K16" si="6">H15/H14</f>
        <v>0.72945638432364102</v>
      </c>
      <c r="I16" s="21">
        <f t="shared" si="6"/>
        <v>0.77485380116959057</v>
      </c>
      <c r="J16" s="21">
        <f t="shared" si="6"/>
        <v>0.75239616613418536</v>
      </c>
      <c r="K16" s="21">
        <f t="shared" si="6"/>
        <v>0.7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2" t="s">
        <v>14</v>
      </c>
      <c r="G19" s="63"/>
      <c r="H19" s="64">
        <f>H15/(1+$C$55)</f>
        <v>143111.40538938055</v>
      </c>
      <c r="I19" s="64">
        <f>I15/(1+$C$55)^2</f>
        <v>152292.40151930461</v>
      </c>
      <c r="J19" s="64">
        <f>J15/(1+$C$55)^3</f>
        <v>152511.38362613556</v>
      </c>
      <c r="K19" s="64">
        <f>K15/(1+$C$55)^4</f>
        <v>132119.413180812</v>
      </c>
      <c r="L19" s="64">
        <f>L15/(1+$C$55)^5</f>
        <v>100427.98430884267</v>
      </c>
      <c r="M19" s="64">
        <f>M15/(1+$C$55)^6</f>
        <v>110831.50793063325</v>
      </c>
      <c r="N19" s="64">
        <f>N15/(1+$C$55)^7</f>
        <v>101023.40988367457</v>
      </c>
      <c r="O19" s="64">
        <f>O15/(1+$C$55)^8</f>
        <v>90116.457666145085</v>
      </c>
      <c r="P19" s="64">
        <f>P15/(1+$C$55)^9</f>
        <v>88977.185129278529</v>
      </c>
      <c r="Q19" s="64">
        <f>Q15/(1+$C$55)^10</f>
        <v>81103.09794969637</v>
      </c>
      <c r="R19" s="65">
        <f>(R15/(C55-R12))/(1+C55)^10</f>
        <v>786230.85863631289</v>
      </c>
    </row>
    <row r="20" spans="1:18" x14ac:dyDescent="0.25">
      <c r="A20" s="2"/>
      <c r="C20" s="1" t="s">
        <v>36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28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7</v>
      </c>
      <c r="B25" s="44" t="s">
        <v>34</v>
      </c>
      <c r="C25" s="44"/>
      <c r="D25" s="46">
        <v>8.5000000000000006E-2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0.03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8</v>
      </c>
      <c r="C30" s="44"/>
      <c r="D30" s="48">
        <f>D25+D26+D27</f>
        <v>0.115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9</v>
      </c>
      <c r="B34" s="44" t="s">
        <v>37</v>
      </c>
      <c r="C34" s="50"/>
      <c r="D34" s="35">
        <v>1.4999999999999999E-2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10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30</v>
      </c>
      <c r="C46" s="37"/>
      <c r="D46" s="53">
        <f>D30+D34</f>
        <v>0.13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44498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5</v>
      </c>
      <c r="C49" s="56">
        <f>C50*C51</f>
        <v>1014772.6004</v>
      </c>
      <c r="D49" s="57">
        <f>SUM(H19:R19)</f>
        <v>1938745.1052202161</v>
      </c>
      <c r="E49" s="55" t="s">
        <v>33</v>
      </c>
    </row>
    <row r="50" spans="1:5" x14ac:dyDescent="0.25">
      <c r="A50" s="54"/>
      <c r="B50" s="55" t="s">
        <v>13</v>
      </c>
      <c r="C50" s="56">
        <v>18153.356</v>
      </c>
      <c r="D50" s="56">
        <f>C50</f>
        <v>18153.356</v>
      </c>
      <c r="E50" s="55"/>
    </row>
    <row r="51" spans="1:5" x14ac:dyDescent="0.25">
      <c r="A51" s="54"/>
      <c r="B51" s="55" t="s">
        <v>15</v>
      </c>
      <c r="C51" s="69">
        <v>55.9</v>
      </c>
      <c r="D51" s="58">
        <f>D49/(D50)</f>
        <v>106.79816477020647</v>
      </c>
      <c r="E51" s="55" t="s">
        <v>33</v>
      </c>
    </row>
    <row r="52" spans="1:5" x14ac:dyDescent="0.25">
      <c r="A52" s="54"/>
      <c r="B52" s="55" t="s">
        <v>2</v>
      </c>
      <c r="C52" s="55"/>
      <c r="D52" s="70">
        <f>IF(C51/D51-1&gt;0,0,C51/D51-1)</f>
        <v>-0.47658276600278771</v>
      </c>
      <c r="E52" s="55"/>
    </row>
    <row r="53" spans="1:5" x14ac:dyDescent="0.25">
      <c r="A53" s="54"/>
      <c r="B53" s="55" t="s">
        <v>17</v>
      </c>
      <c r="C53" s="55"/>
      <c r="D53" s="71">
        <f>IF(C51/D51-1&lt;0,0,C51/D51-1)</f>
        <v>0</v>
      </c>
      <c r="E53" s="55"/>
    </row>
    <row r="54" spans="1:5" x14ac:dyDescent="0.25">
      <c r="A54" s="55"/>
      <c r="B54" s="55"/>
      <c r="C54" s="55"/>
      <c r="D54" s="59"/>
      <c r="E54" s="59"/>
    </row>
    <row r="55" spans="1:5" x14ac:dyDescent="0.25">
      <c r="A55" s="59" t="s">
        <v>28</v>
      </c>
      <c r="B55" s="55"/>
      <c r="C55" s="61">
        <f>D46</f>
        <v>0.13</v>
      </c>
      <c r="D55" s="60"/>
      <c r="E55" s="55"/>
    </row>
    <row r="56" spans="1:5" ht="16.5" thickBot="1" x14ac:dyDescent="0.3">
      <c r="A56" s="29"/>
      <c r="C56" s="80"/>
      <c r="D56" s="81"/>
    </row>
    <row r="57" spans="1:5" x14ac:dyDescent="0.25">
      <c r="A57" s="72" t="s">
        <v>27</v>
      </c>
      <c r="B57" s="30"/>
      <c r="C57" s="83">
        <v>7.5</v>
      </c>
      <c r="D57" s="30"/>
      <c r="E57" s="31"/>
    </row>
    <row r="58" spans="1:5" x14ac:dyDescent="0.25">
      <c r="A58" s="32"/>
      <c r="B58" s="33"/>
      <c r="C58" s="84"/>
      <c r="D58" s="33"/>
      <c r="E58" s="34"/>
    </row>
    <row r="59" spans="1:5" x14ac:dyDescent="0.25">
      <c r="A59" s="32" t="s">
        <v>20</v>
      </c>
      <c r="B59" s="33"/>
      <c r="C59" s="84"/>
      <c r="D59" s="33"/>
      <c r="E59" s="73">
        <f>R15*C57</f>
        <v>2201853.7477838336</v>
      </c>
    </row>
    <row r="60" spans="1:5" x14ac:dyDescent="0.25">
      <c r="A60" s="32"/>
      <c r="B60" s="33"/>
      <c r="C60" s="84"/>
      <c r="D60" s="33"/>
      <c r="E60" s="34"/>
    </row>
    <row r="61" spans="1:5" x14ac:dyDescent="0.25">
      <c r="A61" s="32" t="s">
        <v>21</v>
      </c>
      <c r="B61" s="33"/>
      <c r="C61" s="85">
        <v>0.4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22</v>
      </c>
      <c r="B63" s="33"/>
      <c r="C63" s="33"/>
      <c r="D63" s="33"/>
      <c r="E63" s="73">
        <f>SUM(H15:R15)*C61</f>
        <v>1008340.3286797587</v>
      </c>
    </row>
    <row r="64" spans="1:5" x14ac:dyDescent="0.25">
      <c r="A64" s="32"/>
      <c r="B64" s="33"/>
      <c r="C64" s="33"/>
      <c r="D64" s="33"/>
      <c r="E64" s="74"/>
    </row>
    <row r="65" spans="1:5" x14ac:dyDescent="0.25">
      <c r="A65" s="75" t="s">
        <v>23</v>
      </c>
      <c r="B65" s="33"/>
      <c r="C65" s="33"/>
      <c r="D65" s="33"/>
      <c r="E65" s="76">
        <f>(E63*0.25)*-1</f>
        <v>-252085.08216993968</v>
      </c>
    </row>
    <row r="66" spans="1:5" x14ac:dyDescent="0.25">
      <c r="A66" s="32"/>
      <c r="B66" s="33"/>
      <c r="C66" s="52"/>
      <c r="D66" s="52"/>
      <c r="E66" s="77"/>
    </row>
    <row r="67" spans="1:5" x14ac:dyDescent="0.25">
      <c r="A67" s="32" t="s">
        <v>24</v>
      </c>
      <c r="B67" s="33"/>
      <c r="C67" s="33"/>
      <c r="D67" s="33"/>
      <c r="E67" s="73">
        <f>SUM(E59:E65)</f>
        <v>2958108.9942936525</v>
      </c>
    </row>
    <row r="68" spans="1:5" x14ac:dyDescent="0.25">
      <c r="A68" s="32"/>
      <c r="B68" s="33"/>
      <c r="C68" s="33"/>
      <c r="D68" s="33"/>
      <c r="E68" s="73"/>
    </row>
    <row r="69" spans="1:5" x14ac:dyDescent="0.25">
      <c r="A69" s="32" t="s">
        <v>25</v>
      </c>
      <c r="B69" s="33"/>
      <c r="C69" s="33"/>
      <c r="D69" s="33"/>
      <c r="E69" s="77">
        <f>E67/C49-1</f>
        <v>1.9150461819008848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8" t="s">
        <v>26</v>
      </c>
      <c r="B71" s="79"/>
      <c r="C71" s="79"/>
      <c r="D71" s="79"/>
      <c r="E71" s="82">
        <f>(E67/C49)^(1/10)-1</f>
        <v>0.11292152954277879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2021-10-30T07:43:35Z</dcterms:modified>
</cp:coreProperties>
</file>