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Teamviewer\"/>
    </mc:Choice>
  </mc:AlternateContent>
  <bookViews>
    <workbookView xWindow="0" yWindow="0" windowWidth="28800" windowHeight="12330"/>
  </bookViews>
  <sheets>
    <sheet name="Optimistisch betracht" sheetId="15" r:id="rId1"/>
    <sheet name="Pessimistisch betrachtet" sheetId="10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5" l="1"/>
  <c r="J11" i="15"/>
  <c r="K11" i="15"/>
  <c r="L11" i="15"/>
  <c r="M11" i="15"/>
  <c r="N11" i="15"/>
  <c r="O11" i="15"/>
  <c r="P11" i="15"/>
  <c r="Q11" i="15"/>
  <c r="R11" i="15"/>
  <c r="R14" i="15"/>
  <c r="R15" i="15"/>
  <c r="E59" i="15"/>
  <c r="E65" i="15"/>
  <c r="E67" i="15"/>
  <c r="C49" i="15"/>
  <c r="E71" i="15"/>
  <c r="E69" i="15"/>
  <c r="D30" i="15"/>
  <c r="D46" i="15"/>
  <c r="C55" i="15"/>
  <c r="H14" i="15"/>
  <c r="H15" i="15"/>
  <c r="H19" i="15"/>
  <c r="I14" i="15"/>
  <c r="I15" i="15"/>
  <c r="I19" i="15"/>
  <c r="J14" i="15"/>
  <c r="J15" i="15"/>
  <c r="J19" i="15"/>
  <c r="K14" i="15"/>
  <c r="K15" i="15"/>
  <c r="K19" i="15"/>
  <c r="L14" i="15"/>
  <c r="L15" i="15"/>
  <c r="L19" i="15"/>
  <c r="M14" i="15"/>
  <c r="M15" i="15"/>
  <c r="M19" i="15"/>
  <c r="N14" i="15"/>
  <c r="N15" i="15"/>
  <c r="N19" i="15"/>
  <c r="O14" i="15"/>
  <c r="O15" i="15"/>
  <c r="O19" i="15"/>
  <c r="P14" i="15"/>
  <c r="P15" i="15"/>
  <c r="P19" i="15"/>
  <c r="Q14" i="15"/>
  <c r="Q15" i="15"/>
  <c r="Q19" i="15"/>
  <c r="R19" i="15"/>
  <c r="D49" i="15"/>
  <c r="D50" i="15"/>
  <c r="D51" i="15"/>
  <c r="D53" i="15"/>
  <c r="D52" i="15"/>
  <c r="D44" i="15"/>
  <c r="D43" i="15"/>
  <c r="D42" i="15"/>
  <c r="D41" i="15"/>
  <c r="D40" i="15"/>
  <c r="K16" i="15"/>
  <c r="J16" i="15"/>
  <c r="I16" i="15"/>
  <c r="H16" i="15"/>
  <c r="G16" i="15"/>
  <c r="F16" i="15"/>
  <c r="G13" i="15"/>
  <c r="F13" i="15"/>
  <c r="H12" i="15"/>
  <c r="G12" i="15"/>
  <c r="H15" i="10"/>
  <c r="I11" i="10"/>
  <c r="I14" i="10"/>
  <c r="I15" i="10"/>
  <c r="J11" i="10"/>
  <c r="J14" i="10"/>
  <c r="J15" i="10"/>
  <c r="K11" i="10"/>
  <c r="K14" i="10"/>
  <c r="K15" i="10"/>
  <c r="L11" i="10"/>
  <c r="L14" i="10"/>
  <c r="L15" i="10"/>
  <c r="H14" i="10"/>
  <c r="F13" i="10"/>
  <c r="M11" i="10"/>
  <c r="N11" i="10"/>
  <c r="O11" i="10"/>
  <c r="P11" i="10"/>
  <c r="Q11" i="10"/>
  <c r="R11" i="10"/>
  <c r="R14" i="10"/>
  <c r="R15" i="10"/>
  <c r="E59" i="10"/>
  <c r="M14" i="10"/>
  <c r="M15" i="10"/>
  <c r="N14" i="10"/>
  <c r="N15" i="10"/>
  <c r="O14" i="10"/>
  <c r="O15" i="10"/>
  <c r="P14" i="10"/>
  <c r="P15" i="10"/>
  <c r="Q14" i="10"/>
  <c r="Q15" i="10"/>
  <c r="E65" i="10"/>
  <c r="E67" i="10"/>
  <c r="C49" i="10"/>
  <c r="E71" i="10"/>
  <c r="E69" i="10"/>
  <c r="D50" i="10"/>
  <c r="H12" i="10"/>
  <c r="H16" i="10"/>
  <c r="I16" i="10"/>
  <c r="J16" i="10"/>
  <c r="K16" i="10"/>
  <c r="D30" i="10"/>
  <c r="D46" i="10"/>
  <c r="C55" i="10"/>
  <c r="G16" i="10"/>
  <c r="H19" i="10"/>
  <c r="I19" i="10"/>
  <c r="J19" i="10"/>
  <c r="K19" i="10"/>
  <c r="F16" i="10"/>
  <c r="G13" i="10"/>
  <c r="G12" i="10"/>
  <c r="D44" i="10"/>
  <c r="D43" i="10"/>
  <c r="D42" i="10"/>
  <c r="D41" i="10"/>
  <c r="D40" i="10"/>
  <c r="R19" i="10"/>
  <c r="M19" i="10"/>
  <c r="N19" i="10"/>
  <c r="O19" i="10"/>
  <c r="P19" i="10"/>
  <c r="Q19" i="10"/>
  <c r="L19" i="10"/>
  <c r="D49" i="10"/>
  <c r="D51" i="10"/>
  <c r="D52" i="10"/>
  <c r="D53" i="10"/>
</calcChain>
</file>

<file path=xl/sharedStrings.xml><?xml version="1.0" encoding="utf-8"?>
<sst xmlns="http://schemas.openxmlformats.org/spreadsheetml/2006/main" count="77" uniqueCount="39">
  <si>
    <t>Bewertung</t>
  </si>
  <si>
    <t>Umsatz-Wachstum, %</t>
  </si>
  <si>
    <t>Unterbewertung</t>
  </si>
  <si>
    <t>Fairer Wert</t>
  </si>
  <si>
    <t>Diskontierungsfaktor (WACC)</t>
  </si>
  <si>
    <t>Umsatz</t>
  </si>
  <si>
    <t>Marktkapitalisierung, Mio.</t>
  </si>
  <si>
    <t>Verhältnis EBIT zu Konzerngewinn:</t>
  </si>
  <si>
    <t>Bestimmung des WACC:</t>
  </si>
  <si>
    <t>Branche</t>
  </si>
  <si>
    <t>Gesamt Branche:</t>
  </si>
  <si>
    <t>EK Quote:</t>
  </si>
  <si>
    <t>Vereinfachter WACC:</t>
  </si>
  <si>
    <t>Schätzungen »</t>
  </si>
  <si>
    <t>Gewinn (30% Zinsen/Steuern/sonstiges)</t>
  </si>
  <si>
    <t>WACC gesamt</t>
  </si>
  <si>
    <t>Discounted Net-Profit Modell</t>
  </si>
  <si>
    <t>Anzahl Aktien gesamt, Mio.</t>
  </si>
  <si>
    <t>Abgezinster Gewinn:</t>
  </si>
  <si>
    <t xml:space="preserve">Kurs pro Aktie </t>
  </si>
  <si>
    <t>2031ff.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</si>
  <si>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</si>
  <si>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</si>
  <si>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</si>
  <si>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</si>
  <si>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</si>
  <si>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</si>
  <si>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</si>
  <si>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</si>
  <si>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</si>
  <si>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</si>
  <si>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</si>
  <si>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Alle Angaben in Mio. EUR</t>
  </si>
  <si>
    <t>Optimistische Annahmen für Teamviewer</t>
  </si>
  <si>
    <t>Remote Controll</t>
  </si>
  <si>
    <t xml:space="preserve">Gefahr durch Konkurrenten </t>
  </si>
  <si>
    <t xml:space="preserve">Sehr niedrig. Zuschlag ist nötig. </t>
  </si>
  <si>
    <t>Pessimistischen Annahmen für Teamviewer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</si>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</sst>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;@"/>
    <numFmt numFmtId="165" formatCode="#,##0.0"/>
    <numFmt numFmtId="166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3" fontId="0" fillId="5" borderId="0" xfId="0" applyNumberFormat="1" applyFont="1" applyFill="1"/>
    <xf numFmtId="9" fontId="0" fillId="5" borderId="0" xfId="1" applyFont="1" applyFill="1"/>
    <xf numFmtId="3" fontId="0" fillId="5" borderId="0" xfId="0" applyNumberFormat="1" applyFill="1"/>
    <xf numFmtId="9" fontId="1" fillId="6" borderId="0" xfId="1" applyFont="1" applyFill="1"/>
    <xf numFmtId="3" fontId="0" fillId="7" borderId="0" xfId="0" applyNumberFormat="1" applyFont="1" applyFill="1"/>
    <xf numFmtId="166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6" fontId="1" fillId="2" borderId="0" xfId="1" applyNumberFormat="1" applyFont="1" applyFill="1" applyBorder="1"/>
    <xf numFmtId="3" fontId="3" fillId="2" borderId="0" xfId="0" applyNumberFormat="1" applyFont="1" applyFill="1" applyBorder="1"/>
    <xf numFmtId="166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165" fontId="0" fillId="8" borderId="0" xfId="0" applyNumberForma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6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0" applyNumberFormat="1" applyFill="1"/>
  </cellXfs>
  <cellStyles count="3">
    <cellStyle name="Prozent" xfId="1" builtinId="5"/>
    <cellStyle name="Prozent 2" xfId="2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00"/>
      <color rgb="FFCC99FF"/>
      <color rgb="FFCCCCFF"/>
      <color rgb="FF9966FF"/>
      <color rgb="FF9900CC"/>
      <color rgb="FFFFEB7D"/>
      <color rgb="FFFFD802"/>
      <color rgb="FFFFFAE0"/>
      <color rgb="FFCBD5E0"/>
      <color rgb="FFFFE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tabSelected="1" zoomScale="90" zoomScaleNormal="90" workbookViewId="0">
      <selection activeCell="E52" sqref="E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16</v>
      </c>
    </row>
    <row r="4" spans="1:28" x14ac:dyDescent="0.25">
      <c r="B4" s="29" t="s">
        <v>33</v>
      </c>
    </row>
    <row r="6" spans="1:28" x14ac:dyDescent="0.25">
      <c r="B6" s="1" t="s">
        <v>32</v>
      </c>
    </row>
    <row r="9" spans="1:28" s="8" customFormat="1" x14ac:dyDescent="0.25">
      <c r="H9" s="9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7">
        <v>2021</v>
      </c>
      <c r="I10" s="67">
        <v>2022</v>
      </c>
      <c r="J10" s="67">
        <v>2023</v>
      </c>
      <c r="K10" s="67">
        <v>2024</v>
      </c>
      <c r="L10" s="67">
        <v>2025</v>
      </c>
      <c r="M10" s="67">
        <v>2026</v>
      </c>
      <c r="N10" s="67">
        <v>2027</v>
      </c>
      <c r="O10" s="67">
        <v>2028</v>
      </c>
      <c r="P10" s="67">
        <v>2029</v>
      </c>
      <c r="Q10" s="67">
        <v>2030</v>
      </c>
      <c r="R10" s="66" t="s">
        <v>20</v>
      </c>
    </row>
    <row r="11" spans="1:28" x14ac:dyDescent="0.25">
      <c r="A11" s="5"/>
      <c r="B11" s="4" t="s">
        <v>5</v>
      </c>
      <c r="C11" s="12"/>
      <c r="D11" s="12"/>
      <c r="E11" s="12"/>
      <c r="F11" s="12">
        <v>390</v>
      </c>
      <c r="G11" s="12">
        <v>456</v>
      </c>
      <c r="H11" s="16">
        <v>505</v>
      </c>
      <c r="I11" s="16">
        <f t="shared" ref="I11:L11" si="0">H11*(1+I12)</f>
        <v>606</v>
      </c>
      <c r="J11" s="16">
        <f t="shared" si="0"/>
        <v>727.19999999999993</v>
      </c>
      <c r="K11" s="16">
        <f t="shared" si="0"/>
        <v>836.27999999999986</v>
      </c>
      <c r="L11" s="16">
        <f t="shared" si="0"/>
        <v>919.9079999999999</v>
      </c>
      <c r="M11" s="16">
        <f>L11*(1+M12)</f>
        <v>1011.8987999999999</v>
      </c>
      <c r="N11" s="16">
        <f t="shared" ref="N11:R11" si="1">M11*(1+N12)</f>
        <v>1113.0886800000001</v>
      </c>
      <c r="O11" s="16">
        <f t="shared" si="1"/>
        <v>1202.1357744000002</v>
      </c>
      <c r="P11" s="16">
        <f t="shared" si="1"/>
        <v>1298.3066363520002</v>
      </c>
      <c r="Q11" s="16">
        <f t="shared" si="1"/>
        <v>1402.1711672601602</v>
      </c>
      <c r="R11" s="16">
        <f t="shared" si="1"/>
        <v>1458.2580139505667</v>
      </c>
    </row>
    <row r="12" spans="1:28" x14ac:dyDescent="0.25">
      <c r="A12" s="5"/>
      <c r="B12" s="4" t="s">
        <v>1</v>
      </c>
      <c r="C12" s="13"/>
      <c r="D12" s="13"/>
      <c r="E12" s="13"/>
      <c r="F12" s="13"/>
      <c r="G12" s="13">
        <f>G11/F11-1</f>
        <v>0.1692307692307693</v>
      </c>
      <c r="H12" s="68">
        <f>H11/G11-1</f>
        <v>0.10745614035087714</v>
      </c>
      <c r="I12" s="68">
        <v>0.2</v>
      </c>
      <c r="J12" s="68">
        <v>0.2</v>
      </c>
      <c r="K12" s="68">
        <v>0.15</v>
      </c>
      <c r="L12" s="68">
        <v>0.1</v>
      </c>
      <c r="M12" s="17">
        <v>0.1</v>
      </c>
      <c r="N12" s="17">
        <v>0.1</v>
      </c>
      <c r="O12" s="17">
        <v>0.08</v>
      </c>
      <c r="P12" s="17">
        <v>0.08</v>
      </c>
      <c r="Q12" s="17">
        <v>0.08</v>
      </c>
      <c r="R12" s="17">
        <v>0.04</v>
      </c>
    </row>
    <row r="13" spans="1:28" ht="15.95" customHeight="1" x14ac:dyDescent="0.25">
      <c r="A13" s="5"/>
      <c r="B13" s="4" t="s">
        <v>22</v>
      </c>
      <c r="C13" s="13"/>
      <c r="D13" s="13"/>
      <c r="E13" s="13"/>
      <c r="F13" s="13">
        <f t="shared" ref="F13:K13" si="2">F14/F11</f>
        <v>0.3923076923076923</v>
      </c>
      <c r="G13" s="13">
        <f t="shared" si="2"/>
        <v>0.35964912280701755</v>
      </c>
      <c r="H13" s="68">
        <v>0.33</v>
      </c>
      <c r="I13" s="68">
        <v>0.33</v>
      </c>
      <c r="J13" s="68">
        <v>0.35</v>
      </c>
      <c r="K13" s="68">
        <v>0.36</v>
      </c>
      <c r="L13" s="68">
        <v>0.4</v>
      </c>
      <c r="M13" s="68">
        <v>0.4</v>
      </c>
      <c r="N13" s="68">
        <v>0.4</v>
      </c>
      <c r="O13" s="68">
        <v>0.4</v>
      </c>
      <c r="P13" s="68">
        <v>0.41</v>
      </c>
      <c r="Q13" s="68">
        <v>0.42</v>
      </c>
      <c r="R13" s="68">
        <v>0.43</v>
      </c>
    </row>
    <row r="14" spans="1:28" ht="17.100000000000001" customHeight="1" x14ac:dyDescent="0.25">
      <c r="A14" s="5"/>
      <c r="B14" s="4" t="s">
        <v>23</v>
      </c>
      <c r="C14" s="12"/>
      <c r="D14" s="12"/>
      <c r="E14" s="12"/>
      <c r="F14" s="12">
        <v>153</v>
      </c>
      <c r="G14" s="12">
        <v>164</v>
      </c>
      <c r="H14" s="16">
        <f t="shared" ref="H14:R14" si="3">H11*H13</f>
        <v>166.65</v>
      </c>
      <c r="I14" s="16">
        <f t="shared" si="3"/>
        <v>199.98000000000002</v>
      </c>
      <c r="J14" s="16">
        <f t="shared" si="3"/>
        <v>254.51999999999995</v>
      </c>
      <c r="K14" s="16">
        <f t="shared" si="3"/>
        <v>301.06079999999992</v>
      </c>
      <c r="L14" s="16">
        <f t="shared" si="3"/>
        <v>367.96319999999997</v>
      </c>
      <c r="M14" s="16">
        <f t="shared" si="3"/>
        <v>404.75952000000001</v>
      </c>
      <c r="N14" s="16">
        <f t="shared" si="3"/>
        <v>445.23547200000007</v>
      </c>
      <c r="O14" s="16">
        <f>O11*O13</f>
        <v>480.85430976000009</v>
      </c>
      <c r="P14" s="16">
        <f t="shared" si="3"/>
        <v>532.30572090432008</v>
      </c>
      <c r="Q14" s="16">
        <f t="shared" si="3"/>
        <v>588.91189024926723</v>
      </c>
      <c r="R14" s="16">
        <f t="shared" si="3"/>
        <v>627.05094599874371</v>
      </c>
    </row>
    <row r="15" spans="1:28" ht="16.5" thickBot="1" x14ac:dyDescent="0.3">
      <c r="A15" s="15">
        <v>0.3</v>
      </c>
      <c r="B15" s="4" t="s">
        <v>14</v>
      </c>
      <c r="C15" s="14"/>
      <c r="D15" s="12"/>
      <c r="E15" s="12"/>
      <c r="F15" s="12">
        <v>104</v>
      </c>
      <c r="G15" s="12">
        <v>103</v>
      </c>
      <c r="H15" s="16">
        <f t="shared" ref="H15:Q15" si="4">H14*(1-$A$15)</f>
        <v>116.655</v>
      </c>
      <c r="I15" s="16">
        <f t="shared" si="4"/>
        <v>139.98599999999999</v>
      </c>
      <c r="J15" s="16">
        <f t="shared" si="4"/>
        <v>178.16399999999996</v>
      </c>
      <c r="K15" s="16">
        <f t="shared" si="4"/>
        <v>210.74255999999994</v>
      </c>
      <c r="L15" s="16">
        <f t="shared" si="4"/>
        <v>257.57423999999997</v>
      </c>
      <c r="M15" s="16">
        <f t="shared" si="4"/>
        <v>283.33166399999999</v>
      </c>
      <c r="N15" s="16">
        <f t="shared" si="4"/>
        <v>311.66483040000003</v>
      </c>
      <c r="O15" s="16">
        <f t="shared" si="4"/>
        <v>336.59801683200004</v>
      </c>
      <c r="P15" s="16">
        <f t="shared" si="4"/>
        <v>372.61400463302402</v>
      </c>
      <c r="Q15" s="16">
        <f t="shared" si="4"/>
        <v>412.23832317448705</v>
      </c>
      <c r="R15" s="16">
        <f>R14*(1-$A$15)</f>
        <v>438.9356621991206</v>
      </c>
    </row>
    <row r="16" spans="1:28" ht="32.25" thickBot="1" x14ac:dyDescent="0.3">
      <c r="A16" s="18" t="s">
        <v>7</v>
      </c>
      <c r="B16" s="19"/>
      <c r="C16" s="20"/>
      <c r="D16" s="20"/>
      <c r="E16" s="20"/>
      <c r="F16" s="20">
        <f>F15/F14</f>
        <v>0.6797385620915033</v>
      </c>
      <c r="G16" s="21">
        <f>G15/G14</f>
        <v>0.62804878048780488</v>
      </c>
      <c r="H16" s="21">
        <f t="shared" ref="H16:K16" si="5">H15/H14</f>
        <v>0.7</v>
      </c>
      <c r="I16" s="21">
        <f t="shared" si="5"/>
        <v>0.69999999999999984</v>
      </c>
      <c r="J16" s="21">
        <f t="shared" si="5"/>
        <v>0.7</v>
      </c>
      <c r="K16" s="21">
        <f t="shared" si="5"/>
        <v>0.7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2" t="s">
        <v>18</v>
      </c>
      <c r="G19" s="63"/>
      <c r="H19" s="64">
        <f>H15/(1+$C$55)</f>
        <v>105.57013574660634</v>
      </c>
      <c r="I19" s="64">
        <f>I15/(1+$C$55)^2</f>
        <v>114.64630126328289</v>
      </c>
      <c r="J19" s="64">
        <f>J15/(1+$C$55)^3</f>
        <v>132.04839306342743</v>
      </c>
      <c r="K19" s="64">
        <f>K15/(1+$C$55)^4</f>
        <v>141.35238455916985</v>
      </c>
      <c r="L19" s="64">
        <f>L15/(1+$C$55)^5</f>
        <v>156.34753445458711</v>
      </c>
      <c r="M19" s="64">
        <f>M15/(1+$C$55)^6</f>
        <v>155.64007954755277</v>
      </c>
      <c r="N19" s="64">
        <f>N15/(1+$C$55)^7</f>
        <v>154.93582579394393</v>
      </c>
      <c r="O19" s="64">
        <f>O15/(1+$C$55)^8</f>
        <v>151.4304903687416</v>
      </c>
      <c r="P19" s="64">
        <f>P15/(1+$C$55)^9</f>
        <v>151.70457270425064</v>
      </c>
      <c r="Q19" s="64">
        <f>Q15/(1+$C$55)^10</f>
        <v>151.88874115141394</v>
      </c>
      <c r="R19" s="65">
        <f>(R15/(C55-R12))/(1+C55)^10</f>
        <v>2488.0822360041143</v>
      </c>
    </row>
    <row r="20" spans="1:18" x14ac:dyDescent="0.25">
      <c r="A20" s="2"/>
      <c r="C20" s="86">
        <v>0.3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8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9</v>
      </c>
      <c r="B25" s="44" t="s">
        <v>34</v>
      </c>
      <c r="C25" s="44"/>
      <c r="D25" s="46">
        <v>7.4999999999999997E-2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35</v>
      </c>
      <c r="C26" s="44"/>
      <c r="D26" s="46">
        <v>1.4999999999999999E-2</v>
      </c>
      <c r="E26" s="33"/>
      <c r="F26" s="44"/>
      <c r="G26" s="33"/>
      <c r="H26" s="33"/>
      <c r="I26" s="33"/>
      <c r="J26" s="34"/>
    </row>
    <row r="27" spans="1:18" x14ac:dyDescent="0.25">
      <c r="A27" s="43"/>
      <c r="B27" s="44"/>
      <c r="C27" s="44"/>
      <c r="D27" s="46"/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10</v>
      </c>
      <c r="C30" s="44"/>
      <c r="D30" s="48">
        <f>D25+D26+D27</f>
        <v>0.09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11</v>
      </c>
      <c r="B34" s="44" t="s">
        <v>36</v>
      </c>
      <c r="C34" s="50"/>
      <c r="D34" s="35">
        <v>1.4999999999999999E-2</v>
      </c>
      <c r="E34" s="33"/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12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15</v>
      </c>
      <c r="C46" s="37"/>
      <c r="D46" s="53">
        <f>D30+D34</f>
        <v>0.105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44475</v>
      </c>
      <c r="D48" s="25" t="s">
        <v>3</v>
      </c>
      <c r="E48" s="26"/>
      <c r="F48" s="27"/>
      <c r="G48" s="28"/>
      <c r="H48" s="28"/>
      <c r="I48" s="28"/>
    </row>
    <row r="49" spans="1:5" x14ac:dyDescent="0.25">
      <c r="A49" s="54" t="s">
        <v>0</v>
      </c>
      <c r="B49" s="55" t="s">
        <v>6</v>
      </c>
      <c r="C49" s="56">
        <f>C50*C51</f>
        <v>3707.7492400000001</v>
      </c>
      <c r="D49" s="57">
        <f>SUM(H19:R19)</f>
        <v>3903.6466946570908</v>
      </c>
      <c r="E49" s="55" t="s">
        <v>38</v>
      </c>
    </row>
    <row r="50" spans="1:5" x14ac:dyDescent="0.25">
      <c r="A50" s="54"/>
      <c r="B50" s="55" t="s">
        <v>17</v>
      </c>
      <c r="C50" s="56">
        <v>201.071</v>
      </c>
      <c r="D50" s="56">
        <f>C50</f>
        <v>201.071</v>
      </c>
      <c r="E50" s="55"/>
    </row>
    <row r="51" spans="1:5" x14ac:dyDescent="0.25">
      <c r="A51" s="54"/>
      <c r="B51" s="55" t="s">
        <v>19</v>
      </c>
      <c r="C51" s="69">
        <v>18.440000000000001</v>
      </c>
      <c r="D51" s="58">
        <f>D49/(D50)</f>
        <v>19.414270057129524</v>
      </c>
      <c r="E51" s="55" t="s">
        <v>38</v>
      </c>
    </row>
    <row r="52" spans="1:5" x14ac:dyDescent="0.25">
      <c r="A52" s="54"/>
      <c r="B52" s="55" t="s">
        <v>2</v>
      </c>
      <c r="C52" s="55"/>
      <c r="D52" s="70">
        <f>IF(C51/D51-1&gt;0,0,C51/D51-1)</f>
        <v>-5.0183192788736397E-2</v>
      </c>
      <c r="E52" s="55"/>
    </row>
    <row r="53" spans="1:5" x14ac:dyDescent="0.25">
      <c r="A53" s="54"/>
      <c r="B53" s="55" t="s">
        <v>21</v>
      </c>
      <c r="C53" s="55"/>
      <c r="D53" s="71">
        <f>IF(C51/D51-1&lt;0,0,C51/D51-1)</f>
        <v>0</v>
      </c>
      <c r="E53" s="55"/>
    </row>
    <row r="54" spans="1:5" x14ac:dyDescent="0.25">
      <c r="A54" s="55"/>
      <c r="B54" s="55"/>
      <c r="C54" s="55"/>
      <c r="D54" s="59"/>
      <c r="E54" s="59"/>
    </row>
    <row r="55" spans="1:5" x14ac:dyDescent="0.25">
      <c r="A55" s="59" t="s">
        <v>4</v>
      </c>
      <c r="B55" s="55"/>
      <c r="C55" s="61">
        <f>D46</f>
        <v>0.105</v>
      </c>
      <c r="D55" s="60"/>
      <c r="E55" s="55"/>
    </row>
    <row r="56" spans="1:5" ht="16.5" thickBot="1" x14ac:dyDescent="0.3">
      <c r="A56" s="29"/>
      <c r="C56" s="80"/>
      <c r="D56" s="81"/>
    </row>
    <row r="57" spans="1:5" x14ac:dyDescent="0.25">
      <c r="A57" s="72" t="s">
        <v>31</v>
      </c>
      <c r="B57" s="30"/>
      <c r="C57" s="83">
        <v>25</v>
      </c>
      <c r="D57" s="30"/>
      <c r="E57" s="31"/>
    </row>
    <row r="58" spans="1:5" x14ac:dyDescent="0.25">
      <c r="A58" s="32"/>
      <c r="B58" s="33"/>
      <c r="C58" s="84"/>
      <c r="D58" s="33"/>
      <c r="E58" s="34"/>
    </row>
    <row r="59" spans="1:5" x14ac:dyDescent="0.25">
      <c r="A59" s="32" t="s">
        <v>24</v>
      </c>
      <c r="B59" s="33"/>
      <c r="C59" s="84"/>
      <c r="D59" s="33"/>
      <c r="E59" s="73">
        <f>R15*C57</f>
        <v>10973.391554978016</v>
      </c>
    </row>
    <row r="60" spans="1:5" x14ac:dyDescent="0.25">
      <c r="A60" s="32"/>
      <c r="B60" s="33"/>
      <c r="C60" s="84"/>
      <c r="D60" s="33"/>
      <c r="E60" s="34"/>
    </row>
    <row r="61" spans="1:5" x14ac:dyDescent="0.25">
      <c r="A61" s="32" t="s">
        <v>25</v>
      </c>
      <c r="B61" s="33"/>
      <c r="C61" s="85">
        <v>0</v>
      </c>
      <c r="D61" s="33"/>
      <c r="E61" s="34"/>
    </row>
    <row r="62" spans="1:5" x14ac:dyDescent="0.25">
      <c r="A62" s="32"/>
      <c r="B62" s="33"/>
      <c r="C62" s="33"/>
      <c r="D62" s="33"/>
      <c r="E62" s="34"/>
    </row>
    <row r="63" spans="1:5" x14ac:dyDescent="0.25">
      <c r="A63" s="32" t="s">
        <v>26</v>
      </c>
      <c r="B63" s="33"/>
      <c r="C63" s="33"/>
      <c r="D63" s="33"/>
      <c r="E63" s="73">
        <v>0</v>
      </c>
    </row>
    <row r="64" spans="1:5" x14ac:dyDescent="0.25">
      <c r="A64" s="32"/>
      <c r="B64" s="33"/>
      <c r="C64" s="33"/>
      <c r="D64" s="33"/>
      <c r="E64" s="74"/>
    </row>
    <row r="65" spans="1:5" x14ac:dyDescent="0.25">
      <c r="A65" s="75" t="s">
        <v>27</v>
      </c>
      <c r="B65" s="33"/>
      <c r="C65" s="33"/>
      <c r="D65" s="33"/>
      <c r="E65" s="76">
        <f>(E63*0.25)*-1</f>
        <v>0</v>
      </c>
    </row>
    <row r="66" spans="1:5" x14ac:dyDescent="0.25">
      <c r="A66" s="32"/>
      <c r="B66" s="33"/>
      <c r="C66" s="52"/>
      <c r="D66" s="52"/>
      <c r="E66" s="77"/>
    </row>
    <row r="67" spans="1:5" x14ac:dyDescent="0.25">
      <c r="A67" s="32" t="s">
        <v>28</v>
      </c>
      <c r="B67" s="33"/>
      <c r="C67" s="33"/>
      <c r="D67" s="33"/>
      <c r="E67" s="73">
        <f>SUM(E59:E65)</f>
        <v>10973.391554978016</v>
      </c>
    </row>
    <row r="68" spans="1:5" x14ac:dyDescent="0.25">
      <c r="A68" s="32"/>
      <c r="B68" s="33"/>
      <c r="C68" s="33"/>
      <c r="D68" s="33"/>
      <c r="E68" s="73"/>
    </row>
    <row r="69" spans="1:5" x14ac:dyDescent="0.25">
      <c r="A69" s="32" t="s">
        <v>29</v>
      </c>
      <c r="B69" s="33"/>
      <c r="C69" s="33"/>
      <c r="D69" s="33"/>
      <c r="E69" s="77">
        <f>E67/C49-1</f>
        <v>1.9595829827418467</v>
      </c>
    </row>
    <row r="70" spans="1:5" x14ac:dyDescent="0.25">
      <c r="A70" s="32"/>
      <c r="B70" s="33"/>
      <c r="C70" s="33"/>
      <c r="D70" s="33"/>
      <c r="E70" s="34"/>
    </row>
    <row r="71" spans="1:5" ht="16.5" thickBot="1" x14ac:dyDescent="0.3">
      <c r="A71" s="78" t="s">
        <v>30</v>
      </c>
      <c r="B71" s="79"/>
      <c r="C71" s="79"/>
      <c r="D71" s="79"/>
      <c r="E71" s="82">
        <f>(E67/C49)^(1/10)-1</f>
        <v>0.11461030036368447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zoomScale="90" zoomScaleNormal="90" workbookViewId="0">
      <selection activeCell="N31" sqref="N3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16</v>
      </c>
    </row>
    <row r="4" spans="1:28" x14ac:dyDescent="0.25">
      <c r="B4" s="29" t="s">
        <v>37</v>
      </c>
    </row>
    <row r="6" spans="1:28" x14ac:dyDescent="0.25">
      <c r="B6" s="1" t="s">
        <v>32</v>
      </c>
    </row>
    <row r="9" spans="1:28" s="8" customFormat="1" x14ac:dyDescent="0.25">
      <c r="H9" s="9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7">
        <v>2021</v>
      </c>
      <c r="I10" s="67">
        <v>2022</v>
      </c>
      <c r="J10" s="67">
        <v>2023</v>
      </c>
      <c r="K10" s="67">
        <v>2024</v>
      </c>
      <c r="L10" s="67">
        <v>2025</v>
      </c>
      <c r="M10" s="67">
        <v>2026</v>
      </c>
      <c r="N10" s="67">
        <v>2027</v>
      </c>
      <c r="O10" s="67">
        <v>2028</v>
      </c>
      <c r="P10" s="67">
        <v>2029</v>
      </c>
      <c r="Q10" s="67">
        <v>2030</v>
      </c>
      <c r="R10" s="66" t="s">
        <v>20</v>
      </c>
    </row>
    <row r="11" spans="1:28" x14ac:dyDescent="0.25">
      <c r="A11" s="5"/>
      <c r="B11" s="4" t="s">
        <v>5</v>
      </c>
      <c r="C11" s="12"/>
      <c r="D11" s="12"/>
      <c r="E11" s="12"/>
      <c r="F11" s="12">
        <v>390</v>
      </c>
      <c r="G11" s="12">
        <v>456</v>
      </c>
      <c r="H11" s="16">
        <v>505</v>
      </c>
      <c r="I11" s="16">
        <f t="shared" ref="I11:L11" si="0">H11*(1+I12)</f>
        <v>555.5</v>
      </c>
      <c r="J11" s="16">
        <f t="shared" si="0"/>
        <v>611.05000000000007</v>
      </c>
      <c r="K11" s="16">
        <f t="shared" si="0"/>
        <v>659.93400000000008</v>
      </c>
      <c r="L11" s="16">
        <f t="shared" si="0"/>
        <v>699.5300400000001</v>
      </c>
      <c r="M11" s="16">
        <f>L11*(1+M12)</f>
        <v>741.5018424000001</v>
      </c>
      <c r="N11" s="16">
        <f t="shared" ref="N11:R11" si="1">M11*(1+N12)</f>
        <v>785.9919529440001</v>
      </c>
      <c r="O11" s="16">
        <f t="shared" si="1"/>
        <v>817.43163106176019</v>
      </c>
      <c r="P11" s="16">
        <f t="shared" si="1"/>
        <v>850.12889630423058</v>
      </c>
      <c r="Q11" s="16">
        <f t="shared" si="1"/>
        <v>884.13405215639989</v>
      </c>
      <c r="R11" s="16">
        <f t="shared" si="1"/>
        <v>910.65807372109191</v>
      </c>
    </row>
    <row r="12" spans="1:28" x14ac:dyDescent="0.25">
      <c r="A12" s="5"/>
      <c r="B12" s="4" t="s">
        <v>1</v>
      </c>
      <c r="C12" s="13"/>
      <c r="D12" s="13"/>
      <c r="E12" s="13"/>
      <c r="F12" s="13"/>
      <c r="G12" s="13">
        <f>G11/F11-1</f>
        <v>0.1692307692307693</v>
      </c>
      <c r="H12" s="68">
        <f>H11/G11-1</f>
        <v>0.10745614035087714</v>
      </c>
      <c r="I12" s="68">
        <v>0.1</v>
      </c>
      <c r="J12" s="68">
        <v>0.1</v>
      </c>
      <c r="K12" s="68">
        <v>0.08</v>
      </c>
      <c r="L12" s="68">
        <v>0.06</v>
      </c>
      <c r="M12" s="17">
        <v>0.06</v>
      </c>
      <c r="N12" s="17">
        <v>0.06</v>
      </c>
      <c r="O12" s="17">
        <v>0.04</v>
      </c>
      <c r="P12" s="17">
        <v>0.04</v>
      </c>
      <c r="Q12" s="17">
        <v>0.04</v>
      </c>
      <c r="R12" s="17">
        <v>0.03</v>
      </c>
    </row>
    <row r="13" spans="1:28" ht="15.95" customHeight="1" x14ac:dyDescent="0.25">
      <c r="A13" s="5"/>
      <c r="B13" s="4" t="s">
        <v>22</v>
      </c>
      <c r="C13" s="13"/>
      <c r="D13" s="13"/>
      <c r="E13" s="13"/>
      <c r="F13" s="13">
        <f t="shared" ref="F13:K13" si="2">F14/F11</f>
        <v>0.3923076923076923</v>
      </c>
      <c r="G13" s="13">
        <f t="shared" si="2"/>
        <v>0.35964912280701755</v>
      </c>
      <c r="H13" s="68">
        <v>0.33</v>
      </c>
      <c r="I13" s="68">
        <v>0.33</v>
      </c>
      <c r="J13" s="68">
        <v>0.33</v>
      </c>
      <c r="K13" s="68">
        <v>0.33</v>
      </c>
      <c r="L13" s="68">
        <v>0.33</v>
      </c>
      <c r="M13" s="68">
        <v>0.35</v>
      </c>
      <c r="N13" s="68">
        <v>0.36</v>
      </c>
      <c r="O13" s="68">
        <v>0.36</v>
      </c>
      <c r="P13" s="68">
        <v>0.36</v>
      </c>
      <c r="Q13" s="68">
        <v>0.37</v>
      </c>
      <c r="R13" s="68">
        <v>0.38</v>
      </c>
    </row>
    <row r="14" spans="1:28" ht="17.100000000000001" customHeight="1" x14ac:dyDescent="0.25">
      <c r="A14" s="5"/>
      <c r="B14" s="4" t="s">
        <v>23</v>
      </c>
      <c r="C14" s="12"/>
      <c r="D14" s="12"/>
      <c r="E14" s="12"/>
      <c r="F14" s="12">
        <v>153</v>
      </c>
      <c r="G14" s="12">
        <v>164</v>
      </c>
      <c r="H14" s="16">
        <f t="shared" ref="H14:K14" si="3">H11*H13</f>
        <v>166.65</v>
      </c>
      <c r="I14" s="16">
        <f t="shared" si="3"/>
        <v>183.315</v>
      </c>
      <c r="J14" s="16">
        <f t="shared" si="3"/>
        <v>201.64650000000003</v>
      </c>
      <c r="K14" s="16">
        <f t="shared" si="3"/>
        <v>217.77822000000003</v>
      </c>
      <c r="L14" s="16">
        <f t="shared" ref="L14:R14" si="4">L11*L13</f>
        <v>230.84491320000004</v>
      </c>
      <c r="M14" s="16">
        <f t="shared" si="4"/>
        <v>259.52564484000004</v>
      </c>
      <c r="N14" s="16">
        <f t="shared" si="4"/>
        <v>282.95710305984005</v>
      </c>
      <c r="O14" s="16">
        <f>O11*O13</f>
        <v>294.27538718223366</v>
      </c>
      <c r="P14" s="16">
        <f t="shared" si="4"/>
        <v>306.04640266952299</v>
      </c>
      <c r="Q14" s="16">
        <f t="shared" si="4"/>
        <v>327.12959929786797</v>
      </c>
      <c r="R14" s="16">
        <f t="shared" si="4"/>
        <v>346.05006801401493</v>
      </c>
    </row>
    <row r="15" spans="1:28" ht="16.5" thickBot="1" x14ac:dyDescent="0.3">
      <c r="A15" s="15">
        <v>0.3</v>
      </c>
      <c r="B15" s="4" t="s">
        <v>14</v>
      </c>
      <c r="C15" s="14"/>
      <c r="D15" s="12"/>
      <c r="E15" s="12"/>
      <c r="F15" s="12">
        <v>104</v>
      </c>
      <c r="G15" s="12">
        <v>103</v>
      </c>
      <c r="H15" s="16">
        <f t="shared" ref="H15:L15" si="5">H14*(1-$A$15)</f>
        <v>116.655</v>
      </c>
      <c r="I15" s="16">
        <f t="shared" si="5"/>
        <v>128.32049999999998</v>
      </c>
      <c r="J15" s="16">
        <f t="shared" si="5"/>
        <v>141.15255000000002</v>
      </c>
      <c r="K15" s="16">
        <f t="shared" si="5"/>
        <v>152.44475400000002</v>
      </c>
      <c r="L15" s="16">
        <f t="shared" si="5"/>
        <v>161.59143924000003</v>
      </c>
      <c r="M15" s="16">
        <f t="shared" ref="M15:Q15" si="6">M14*(1-$A$15)</f>
        <v>181.66795138800001</v>
      </c>
      <c r="N15" s="16">
        <f t="shared" si="6"/>
        <v>198.06997214188803</v>
      </c>
      <c r="O15" s="16">
        <f t="shared" si="6"/>
        <v>205.99277102756355</v>
      </c>
      <c r="P15" s="16">
        <f t="shared" si="6"/>
        <v>214.23248186866607</v>
      </c>
      <c r="Q15" s="16">
        <f t="shared" si="6"/>
        <v>228.99071950850757</v>
      </c>
      <c r="R15" s="16">
        <f>R14*(1-$A$15)</f>
        <v>242.23504760981044</v>
      </c>
    </row>
    <row r="16" spans="1:28" ht="32.25" thickBot="1" x14ac:dyDescent="0.3">
      <c r="A16" s="18" t="s">
        <v>7</v>
      </c>
      <c r="B16" s="19"/>
      <c r="C16" s="20"/>
      <c r="D16" s="20"/>
      <c r="E16" s="20"/>
      <c r="F16" s="20">
        <f>F15/F14</f>
        <v>0.6797385620915033</v>
      </c>
      <c r="G16" s="21">
        <f>G15/G14</f>
        <v>0.62804878048780488</v>
      </c>
      <c r="H16" s="21">
        <f t="shared" ref="H16:K16" si="7">H15/H14</f>
        <v>0.7</v>
      </c>
      <c r="I16" s="21">
        <f t="shared" si="7"/>
        <v>0.7</v>
      </c>
      <c r="J16" s="21">
        <f t="shared" si="7"/>
        <v>0.7</v>
      </c>
      <c r="K16" s="21">
        <f t="shared" si="7"/>
        <v>0.7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2" t="s">
        <v>18</v>
      </c>
      <c r="G19" s="63"/>
      <c r="H19" s="64">
        <f>H15/(1+$C$55)</f>
        <v>105.57013574660634</v>
      </c>
      <c r="I19" s="64">
        <f>I15/(1+$C$55)^2</f>
        <v>105.09244282467597</v>
      </c>
      <c r="J19" s="64">
        <f>J15/(1+$C$55)^3</f>
        <v>104.61691140917974</v>
      </c>
      <c r="K19" s="64">
        <f>K15/(1+$C$55)^4</f>
        <v>102.25001296100824</v>
      </c>
      <c r="L19" s="64">
        <f>L15/(1+$C$55)^5</f>
        <v>98.08598528386311</v>
      </c>
      <c r="M19" s="64">
        <f>M15/(1+$C$55)^6</f>
        <v>99.79405056989772</v>
      </c>
      <c r="N19" s="64">
        <f>N15/(1+$C$55)^7</f>
        <v>98.465183445308284</v>
      </c>
      <c r="O19" s="64">
        <f>O15/(1+$C$55)^8</f>
        <v>92.673113830878378</v>
      </c>
      <c r="P19" s="64">
        <f>P15/(1+$C$55)^9</f>
        <v>87.221754193767893</v>
      </c>
      <c r="Q19" s="64">
        <f>Q15/(1+$C$55)^10</f>
        <v>84.371370069788554</v>
      </c>
      <c r="R19" s="65">
        <f>(R15/(C55-R12))/(1+C55)^10</f>
        <v>1190.0163692005492</v>
      </c>
    </row>
    <row r="20" spans="1:18" x14ac:dyDescent="0.25">
      <c r="A20" s="2"/>
      <c r="C20" s="86">
        <v>0.3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8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9</v>
      </c>
      <c r="B25" s="44" t="s">
        <v>34</v>
      </c>
      <c r="C25" s="44"/>
      <c r="D25" s="46">
        <v>7.4999999999999997E-2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35</v>
      </c>
      <c r="C26" s="44"/>
      <c r="D26" s="46">
        <v>1.4999999999999999E-2</v>
      </c>
      <c r="E26" s="33"/>
      <c r="F26" s="44"/>
      <c r="G26" s="33"/>
      <c r="H26" s="33"/>
      <c r="I26" s="33"/>
      <c r="J26" s="34"/>
    </row>
    <row r="27" spans="1:18" x14ac:dyDescent="0.25">
      <c r="A27" s="43"/>
      <c r="B27" s="44"/>
      <c r="C27" s="44"/>
      <c r="D27" s="46"/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10</v>
      </c>
      <c r="C30" s="44"/>
      <c r="D30" s="48">
        <f>D25+D26+D27</f>
        <v>0.09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11</v>
      </c>
      <c r="B34" s="44"/>
      <c r="C34" s="50"/>
      <c r="D34" s="35">
        <v>1.4999999999999999E-2</v>
      </c>
      <c r="E34" s="33"/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12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15</v>
      </c>
      <c r="C46" s="37"/>
      <c r="D46" s="53">
        <f>D30+D34</f>
        <v>0.105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44475</v>
      </c>
      <c r="D48" s="25" t="s">
        <v>3</v>
      </c>
      <c r="E48" s="26"/>
      <c r="F48" s="27"/>
      <c r="G48" s="28"/>
      <c r="H48" s="28"/>
      <c r="I48" s="28"/>
    </row>
    <row r="49" spans="1:5" x14ac:dyDescent="0.25">
      <c r="A49" s="54" t="s">
        <v>0</v>
      </c>
      <c r="B49" s="55" t="s">
        <v>6</v>
      </c>
      <c r="C49" s="56">
        <f>C50*C51</f>
        <v>3707.7492400000001</v>
      </c>
      <c r="D49" s="57">
        <f>SUM(H19:R19)</f>
        <v>2168.1573295355233</v>
      </c>
      <c r="E49" s="55" t="s">
        <v>38</v>
      </c>
    </row>
    <row r="50" spans="1:5" x14ac:dyDescent="0.25">
      <c r="A50" s="54"/>
      <c r="B50" s="55" t="s">
        <v>17</v>
      </c>
      <c r="C50" s="56">
        <v>201.071</v>
      </c>
      <c r="D50" s="56">
        <f>C50</f>
        <v>201.071</v>
      </c>
      <c r="E50" s="55"/>
    </row>
    <row r="51" spans="1:5" x14ac:dyDescent="0.25">
      <c r="A51" s="54"/>
      <c r="B51" s="55" t="s">
        <v>19</v>
      </c>
      <c r="C51" s="69">
        <v>18.440000000000001</v>
      </c>
      <c r="D51" s="58">
        <f>D49/(D50)</f>
        <v>10.783043450002852</v>
      </c>
      <c r="E51" s="55" t="s">
        <v>38</v>
      </c>
    </row>
    <row r="52" spans="1:5" x14ac:dyDescent="0.25">
      <c r="A52" s="54"/>
      <c r="B52" s="55" t="s">
        <v>2</v>
      </c>
      <c r="C52" s="55"/>
      <c r="D52" s="70">
        <f>IF(C51/D51-1&gt;0,0,C51/D51-1)</f>
        <v>0</v>
      </c>
      <c r="E52" s="55"/>
    </row>
    <row r="53" spans="1:5" x14ac:dyDescent="0.25">
      <c r="A53" s="54"/>
      <c r="B53" s="55" t="s">
        <v>21</v>
      </c>
      <c r="C53" s="55"/>
      <c r="D53" s="71">
        <f>IF(C51/D51-1&lt;0,0,C51/D51-1)</f>
        <v>0.71009233946795636</v>
      </c>
      <c r="E53" s="55"/>
    </row>
    <row r="54" spans="1:5" x14ac:dyDescent="0.25">
      <c r="A54" s="55"/>
      <c r="B54" s="55"/>
      <c r="C54" s="55"/>
      <c r="D54" s="59"/>
      <c r="E54" s="59"/>
    </row>
    <row r="55" spans="1:5" x14ac:dyDescent="0.25">
      <c r="A55" s="59" t="s">
        <v>4</v>
      </c>
      <c r="B55" s="55"/>
      <c r="C55" s="61">
        <f>D46</f>
        <v>0.105</v>
      </c>
      <c r="D55" s="60"/>
      <c r="E55" s="55"/>
    </row>
    <row r="56" spans="1:5" ht="16.5" thickBot="1" x14ac:dyDescent="0.3">
      <c r="A56" s="29"/>
      <c r="C56" s="80"/>
      <c r="D56" s="81"/>
    </row>
    <row r="57" spans="1:5" x14ac:dyDescent="0.25">
      <c r="A57" s="72" t="s">
        <v>31</v>
      </c>
      <c r="B57" s="30"/>
      <c r="C57" s="83">
        <v>20</v>
      </c>
      <c r="D57" s="30"/>
      <c r="E57" s="31"/>
    </row>
    <row r="58" spans="1:5" x14ac:dyDescent="0.25">
      <c r="A58" s="32"/>
      <c r="B58" s="33"/>
      <c r="C58" s="84"/>
      <c r="D58" s="33"/>
      <c r="E58" s="34"/>
    </row>
    <row r="59" spans="1:5" x14ac:dyDescent="0.25">
      <c r="A59" s="32" t="s">
        <v>24</v>
      </c>
      <c r="B59" s="33"/>
      <c r="C59" s="84"/>
      <c r="D59" s="33"/>
      <c r="E59" s="73">
        <f>R15*C57</f>
        <v>4844.7009521962091</v>
      </c>
    </row>
    <row r="60" spans="1:5" x14ac:dyDescent="0.25">
      <c r="A60" s="32"/>
      <c r="B60" s="33"/>
      <c r="C60" s="84"/>
      <c r="D60" s="33"/>
      <c r="E60" s="34"/>
    </row>
    <row r="61" spans="1:5" x14ac:dyDescent="0.25">
      <c r="A61" s="32" t="s">
        <v>25</v>
      </c>
      <c r="B61" s="33"/>
      <c r="C61" s="85">
        <v>0</v>
      </c>
      <c r="D61" s="33"/>
      <c r="E61" s="34"/>
    </row>
    <row r="62" spans="1:5" x14ac:dyDescent="0.25">
      <c r="A62" s="32"/>
      <c r="B62" s="33"/>
      <c r="C62" s="33"/>
      <c r="D62" s="33"/>
      <c r="E62" s="34"/>
    </row>
    <row r="63" spans="1:5" x14ac:dyDescent="0.25">
      <c r="A63" s="32" t="s">
        <v>26</v>
      </c>
      <c r="B63" s="33"/>
      <c r="C63" s="33"/>
      <c r="D63" s="33"/>
      <c r="E63" s="73">
        <v>0</v>
      </c>
    </row>
    <row r="64" spans="1:5" x14ac:dyDescent="0.25">
      <c r="A64" s="32"/>
      <c r="B64" s="33"/>
      <c r="C64" s="33"/>
      <c r="D64" s="33"/>
      <c r="E64" s="74"/>
    </row>
    <row r="65" spans="1:5" x14ac:dyDescent="0.25">
      <c r="A65" s="75" t="s">
        <v>27</v>
      </c>
      <c r="B65" s="33"/>
      <c r="C65" s="33"/>
      <c r="D65" s="33"/>
      <c r="E65" s="76">
        <f>(E63*0.25)*-1</f>
        <v>0</v>
      </c>
    </row>
    <row r="66" spans="1:5" x14ac:dyDescent="0.25">
      <c r="A66" s="32"/>
      <c r="B66" s="33"/>
      <c r="C66" s="52"/>
      <c r="D66" s="52"/>
      <c r="E66" s="77"/>
    </row>
    <row r="67" spans="1:5" x14ac:dyDescent="0.25">
      <c r="A67" s="32" t="s">
        <v>28</v>
      </c>
      <c r="B67" s="33"/>
      <c r="C67" s="33"/>
      <c r="D67" s="33"/>
      <c r="E67" s="73">
        <f>SUM(E59:E65)</f>
        <v>4844.7009521962091</v>
      </c>
    </row>
    <row r="68" spans="1:5" x14ac:dyDescent="0.25">
      <c r="A68" s="32"/>
      <c r="B68" s="33"/>
      <c r="C68" s="33"/>
      <c r="D68" s="33"/>
      <c r="E68" s="73"/>
    </row>
    <row r="69" spans="1:5" x14ac:dyDescent="0.25">
      <c r="A69" s="32" t="s">
        <v>29</v>
      </c>
      <c r="B69" s="33"/>
      <c r="C69" s="33"/>
      <c r="D69" s="33"/>
      <c r="E69" s="77">
        <f>E67/C49-1</f>
        <v>0.30664201881036846</v>
      </c>
    </row>
    <row r="70" spans="1:5" x14ac:dyDescent="0.25">
      <c r="A70" s="32"/>
      <c r="B70" s="33"/>
      <c r="C70" s="33"/>
      <c r="D70" s="33"/>
      <c r="E70" s="34"/>
    </row>
    <row r="71" spans="1:5" ht="16.5" thickBot="1" x14ac:dyDescent="0.3">
      <c r="A71" s="78" t="s">
        <v>30</v>
      </c>
      <c r="B71" s="79"/>
      <c r="C71" s="79"/>
      <c r="D71" s="79"/>
      <c r="E71" s="82">
        <f>(E67/C49)^(1/10)-1</f>
        <v>2.7106936019941852E-2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Optimistisch betracht</vt:lpstr>
      <vt:lpstr>Pessimistisch betrachtet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2021-10-06T14:42:51Z</dcterms:modified>
</cp:coreProperties>
</file>