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Volkswagen\"/>
    </mc:Choice>
  </mc:AlternateContent>
  <bookViews>
    <workbookView xWindow="0" yWindow="0" windowWidth="28800" windowHeight="12330"/>
  </bookViews>
  <sheets>
    <sheet name="Pessimistisch" sheetId="10" r:id="rId1"/>
    <sheet name="Optimistisch" sheetId="1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0" l="1"/>
  <c r="J15" i="10"/>
  <c r="I15" i="10"/>
  <c r="I16" i="10"/>
  <c r="C52" i="16" l="1"/>
  <c r="D50" i="16"/>
  <c r="C49" i="16"/>
  <c r="D30" i="16"/>
  <c r="D46" i="16" s="1"/>
  <c r="C56" i="16" s="1"/>
  <c r="K19" i="16" s="1"/>
  <c r="J16" i="16"/>
  <c r="G16" i="16"/>
  <c r="F16" i="16"/>
  <c r="E16" i="16"/>
  <c r="K15" i="16"/>
  <c r="J15" i="16"/>
  <c r="I15" i="16"/>
  <c r="I16" i="16" s="1"/>
  <c r="H15" i="16"/>
  <c r="L14" i="16"/>
  <c r="L15" i="16" s="1"/>
  <c r="K14" i="16"/>
  <c r="K16" i="16" s="1"/>
  <c r="J14" i="16"/>
  <c r="I14" i="16"/>
  <c r="H14" i="16"/>
  <c r="H16" i="16" s="1"/>
  <c r="G13" i="16"/>
  <c r="F13" i="16"/>
  <c r="E13" i="16"/>
  <c r="K12" i="16"/>
  <c r="J12" i="16"/>
  <c r="I12" i="16"/>
  <c r="H12" i="16"/>
  <c r="G12" i="16"/>
  <c r="F12" i="16"/>
  <c r="E12" i="16"/>
  <c r="M11" i="16"/>
  <c r="N11" i="16" s="1"/>
  <c r="L11" i="16"/>
  <c r="H15" i="10"/>
  <c r="E16" i="10"/>
  <c r="F16" i="10"/>
  <c r="G16" i="10"/>
  <c r="F13" i="10"/>
  <c r="G13" i="10"/>
  <c r="E13" i="10"/>
  <c r="D50" i="10"/>
  <c r="C52" i="10"/>
  <c r="C49" i="10"/>
  <c r="J19" i="16" l="1"/>
  <c r="L19" i="16"/>
  <c r="O11" i="16"/>
  <c r="N14" i="16"/>
  <c r="N15" i="16" s="1"/>
  <c r="N19" i="16" s="1"/>
  <c r="H19" i="16"/>
  <c r="M14" i="16"/>
  <c r="M15" i="16" s="1"/>
  <c r="M19" i="16" s="1"/>
  <c r="I19" i="16"/>
  <c r="H14" i="10"/>
  <c r="E12" i="10"/>
  <c r="F12" i="10"/>
  <c r="H12" i="10"/>
  <c r="D30" i="10"/>
  <c r="D46" i="10" s="1"/>
  <c r="C56" i="10" s="1"/>
  <c r="G12" i="10"/>
  <c r="P11" i="16" l="1"/>
  <c r="O14" i="16"/>
  <c r="O15" i="16" s="1"/>
  <c r="H19" i="10"/>
  <c r="H16" i="10"/>
  <c r="O19" i="16" l="1"/>
  <c r="P14" i="16"/>
  <c r="P15" i="16" s="1"/>
  <c r="P19" i="16" s="1"/>
  <c r="Q11" i="16"/>
  <c r="Q14" i="16" l="1"/>
  <c r="Q15" i="16" s="1"/>
  <c r="E64" i="16" s="1"/>
  <c r="E66" i="16" s="1"/>
  <c r="R11" i="16"/>
  <c r="R14" i="16" s="1"/>
  <c r="R15" i="16" s="1"/>
  <c r="E60" i="16" l="1"/>
  <c r="E68" i="16" s="1"/>
  <c r="R19" i="16"/>
  <c r="Q19" i="16"/>
  <c r="D49" i="16" s="1"/>
  <c r="D52" i="16" s="1"/>
  <c r="D43" i="16"/>
  <c r="D40" i="16"/>
  <c r="D42" i="16"/>
  <c r="D41" i="16"/>
  <c r="D44" i="16"/>
  <c r="E70" i="16" l="1"/>
  <c r="E72" i="16"/>
  <c r="D54" i="16"/>
  <c r="D53" i="16"/>
  <c r="I11" i="10"/>
  <c r="I14" i="10" s="1"/>
  <c r="I19" i="10" l="1"/>
  <c r="J14" i="10"/>
  <c r="J11" i="10"/>
  <c r="J16" i="10"/>
  <c r="J19" i="10"/>
  <c r="K11" i="10"/>
  <c r="K19" i="10" l="1"/>
  <c r="L11" i="10"/>
  <c r="K14" i="10"/>
  <c r="K16" i="10" s="1"/>
  <c r="L14" i="10" l="1"/>
  <c r="L15" i="10" s="1"/>
  <c r="M11" i="10"/>
  <c r="N11" i="10" l="1"/>
  <c r="M14" i="10"/>
  <c r="M15" i="10" s="1"/>
  <c r="M19" i="10" s="1"/>
  <c r="L19" i="10"/>
  <c r="O11" i="10" l="1"/>
  <c r="N14" i="10"/>
  <c r="N15" i="10" s="1"/>
  <c r="N19" i="10" l="1"/>
  <c r="P11" i="10"/>
  <c r="O14" i="10"/>
  <c r="O15" i="10" s="1"/>
  <c r="O19" i="10" s="1"/>
  <c r="Q11" i="10" l="1"/>
  <c r="P14" i="10"/>
  <c r="P15" i="10" s="1"/>
  <c r="P19" i="10" l="1"/>
  <c r="Q14" i="10"/>
  <c r="Q15" i="10" s="1"/>
  <c r="Q19" i="10" s="1"/>
  <c r="R11" i="10"/>
  <c r="R14" i="10" s="1"/>
  <c r="R15" i="10" s="1"/>
  <c r="E60" i="10" l="1"/>
  <c r="R19" i="10"/>
  <c r="D49" i="10" s="1"/>
  <c r="D52" i="10" s="1"/>
  <c r="D43" i="10"/>
  <c r="D41" i="10"/>
  <c r="D44" i="10"/>
  <c r="D40" i="10"/>
  <c r="D42" i="10"/>
  <c r="E64" i="10"/>
  <c r="E66" i="10" s="1"/>
  <c r="E68" i="10" l="1"/>
  <c r="E70" i="10" s="1"/>
  <c r="D54" i="10"/>
  <c r="D53" i="10"/>
  <c r="E72" i="10" l="1"/>
</calcChain>
</file>

<file path=xl/sharedStrings.xml><?xml version="1.0" encoding="utf-8"?>
<sst xmlns="http://schemas.openxmlformats.org/spreadsheetml/2006/main" count="109" uniqueCount="56">
  <si>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</si>
  <si>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</si>
  <si>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</si>
  <si>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</si>
  <si>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</si>
  <si>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</si>
  <si>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</si>
  <si>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Branche</t>
  </si>
  <si>
    <t>Gesamt Branche:</t>
  </si>
  <si>
    <t>EK Quote:</t>
  </si>
  <si>
    <t>Vereinfachter WACC:</t>
  </si>
  <si>
    <t>Schätzungen »</t>
  </si>
  <si>
    <t>Discounted Net-Profit Modell</t>
  </si>
  <si>
    <t>Abgezinster Gewinn:</t>
  </si>
  <si>
    <t>2031ff.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</si>
  <si>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</si>
  <si>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</si>
  <si>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</si>
  <si>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</si>
  <si>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</si>
  <si>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</si>
  <si>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</si>
  <si>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</si>
  <si>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</si>
  <si>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</si>
  <si>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</si>
  <si>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</si>
  <si>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25 % Abschlag vom EBIT für Zins und Steuern</t>
  </si>
  <si>
    <t>(ab 2025)</t>
  </si>
  <si>
    <t>Gewinn (25% Zinsen/Steuern/sonstiges)</t>
  </si>
  <si>
    <t>EK-Zins</t>
  </si>
  <si>
    <t xml:space="preserve">Vz Aktie </t>
  </si>
  <si>
    <t xml:space="preserve">St Aktie </t>
  </si>
  <si>
    <t>derzeitiger Kurs</t>
  </si>
  <si>
    <t>fairer Wert</t>
  </si>
  <si>
    <t>Anzahl Vz. Aktien gesamt, Mio.</t>
  </si>
  <si>
    <t>Anzahl St. Aktien gesamt, Mio.</t>
  </si>
  <si>
    <t>Kurs pro Aktie (gewichtet)</t>
  </si>
  <si>
    <t>Optimistische Annahmen für Volkswagen</t>
  </si>
  <si>
    <t>EUR</t>
  </si>
  <si>
    <t>Automobilbranche</t>
  </si>
  <si>
    <t>Pessimistische Annahmen für Volkswagen</t>
  </si>
  <si>
    <t xml:space="preserve">gehen wir mal von drei Szenarien aus: </t>
  </si>
  <si>
    <t xml:space="preserve">Szenario 1: VW kann die Marge ab 2031 wohl deutlich stärker steigern und wird ggf. in </t>
  </si>
  <si>
    <t xml:space="preserve">zukünftigen Jahren bei rund 15 % Marge liegen. Durch E-Autos und Skaleneffekte ist dies denkbar </t>
  </si>
  <si>
    <t xml:space="preserve">Dann ist ein KGV von bis zu 15 relativ realistisch. Vor allem wenn der Umsatz auch mit ca. 5 % gesteigert werden </t>
  </si>
  <si>
    <t xml:space="preserve">kann </t>
  </si>
  <si>
    <t xml:space="preserve">Szenario 2: VW wächst nur  noch mit 2-3 % pro Jahr. Aufgrund der zyklischen Branche wäre VW wohl dann eher </t>
  </si>
  <si>
    <t xml:space="preserve">nur mit einem KGV von 6-7 bewertet. </t>
  </si>
  <si>
    <t xml:space="preserve">Wir gehen mit einem Wert dazwischen von 10. </t>
  </si>
  <si>
    <t xml:space="preserve">hohe FK-Quote, aber ist stark verfälscht du das Finanzierungsgeschäft </t>
  </si>
  <si>
    <t xml:space="preserve">recht stark Konjunkturabhänig </t>
  </si>
  <si>
    <t>Sicherheitszuschlag</t>
  </si>
  <si>
    <t>starke Konkurrenz, hohe Kosten durch Umbruch</t>
  </si>
  <si>
    <t>Alle Angaben in Mio. EUR</t>
  </si>
  <si>
    <t xml:space="preserve"> Siehe Erläuterungen Optimistisches Szenario, hier gehen wir vom worst case aus.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</si>
</sst>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;@"/>
    <numFmt numFmtId="165" formatCode="#,##0.0"/>
    <numFmt numFmtId="166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3" fontId="0" fillId="5" borderId="0" xfId="0" applyNumberFormat="1" applyFont="1" applyFill="1"/>
    <xf numFmtId="9" fontId="0" fillId="5" borderId="0" xfId="1" applyFont="1" applyFill="1"/>
    <xf numFmtId="3" fontId="0" fillId="5" borderId="0" xfId="0" applyNumberFormat="1" applyFill="1"/>
    <xf numFmtId="9" fontId="1" fillId="6" borderId="0" xfId="1" applyFont="1" applyFill="1"/>
    <xf numFmtId="3" fontId="0" fillId="7" borderId="0" xfId="0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6" fontId="1" fillId="2" borderId="0" xfId="1" applyNumberFormat="1" applyFont="1" applyFill="1" applyBorder="1"/>
    <xf numFmtId="3" fontId="3" fillId="2" borderId="0" xfId="0" applyNumberFormat="1" applyFont="1" applyFill="1" applyBorder="1"/>
    <xf numFmtId="166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165" fontId="0" fillId="8" borderId="0" xfId="0" applyNumberForma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6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4" fontId="3" fillId="6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3">
    <cellStyle name="Prozent" xfId="1" builtinId="5"/>
    <cellStyle name="Prozent 2" xfId="2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00"/>
      <color rgb="FFCC99FF"/>
      <color rgb="FFCCCCFF"/>
      <color rgb="FF9966FF"/>
      <color rgb="FF9900CC"/>
      <color rgb="FFFFEB7D"/>
      <color rgb="FFFFD802"/>
      <color rgb="FFFFFAE0"/>
      <color rgb="FFCBD5E0"/>
      <color rgb="FFFFE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tabSelected="1" topLeftCell="A28" zoomScale="90" zoomScaleNormal="90" workbookViewId="0">
      <selection activeCell="G51" sqref="G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7" t="s">
        <v>12</v>
      </c>
    </row>
    <row r="4" spans="1:28" x14ac:dyDescent="0.25">
      <c r="B4" s="27" t="s">
        <v>41</v>
      </c>
      <c r="L4" s="31"/>
      <c r="M4" s="31"/>
      <c r="N4" s="31"/>
      <c r="O4" s="31"/>
      <c r="P4" s="31"/>
      <c r="Q4" s="31"/>
      <c r="R4" s="31"/>
      <c r="S4" s="31"/>
      <c r="T4" s="31"/>
    </row>
    <row r="5" spans="1:28" x14ac:dyDescent="0.25">
      <c r="L5" s="31"/>
      <c r="M5" s="31"/>
      <c r="N5" s="31"/>
      <c r="O5" s="31"/>
      <c r="P5" s="31"/>
      <c r="Q5" s="31"/>
      <c r="R5" s="31"/>
      <c r="S5" s="31"/>
      <c r="T5" s="31"/>
    </row>
    <row r="6" spans="1:28" x14ac:dyDescent="0.25">
      <c r="B6" s="1" t="s">
        <v>54</v>
      </c>
      <c r="L6" s="31"/>
      <c r="M6" s="31"/>
      <c r="N6" s="31"/>
      <c r="O6" s="31"/>
      <c r="P6" s="31"/>
      <c r="Q6" s="31"/>
      <c r="R6" s="31"/>
      <c r="S6" s="31"/>
      <c r="T6" s="31"/>
    </row>
    <row r="7" spans="1:28" x14ac:dyDescent="0.25">
      <c r="L7" s="31"/>
      <c r="M7" s="31"/>
      <c r="N7" s="31"/>
      <c r="O7" s="31"/>
      <c r="P7" s="31"/>
      <c r="Q7" s="31"/>
      <c r="R7" s="31"/>
      <c r="S7" s="31"/>
      <c r="T7" s="31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5">
        <v>2021</v>
      </c>
      <c r="I10" s="65">
        <v>2022</v>
      </c>
      <c r="J10" s="65">
        <v>2023</v>
      </c>
      <c r="K10" s="65">
        <v>2024</v>
      </c>
      <c r="L10" s="65">
        <v>2025</v>
      </c>
      <c r="M10" s="65">
        <v>2026</v>
      </c>
      <c r="N10" s="65">
        <v>2027</v>
      </c>
      <c r="O10" s="65">
        <v>2028</v>
      </c>
      <c r="P10" s="65">
        <v>2029</v>
      </c>
      <c r="Q10" s="65">
        <v>2030</v>
      </c>
      <c r="R10" s="64" t="s">
        <v>14</v>
      </c>
    </row>
    <row r="11" spans="1:28" x14ac:dyDescent="0.25">
      <c r="A11" s="5"/>
      <c r="B11" s="4" t="s">
        <v>4</v>
      </c>
      <c r="C11" s="12"/>
      <c r="D11" s="12"/>
      <c r="E11" s="12">
        <v>235849</v>
      </c>
      <c r="F11" s="12">
        <v>252632</v>
      </c>
      <c r="G11" s="12">
        <v>222884</v>
      </c>
      <c r="H11" s="16">
        <v>249302</v>
      </c>
      <c r="I11" s="16">
        <f t="shared" ref="I11" si="0">H11*(1+I12)</f>
        <v>261767.1</v>
      </c>
      <c r="J11" s="16">
        <f t="shared" ref="J11" si="1">I11*(1+J12)</f>
        <v>269620.11300000001</v>
      </c>
      <c r="K11" s="16">
        <f t="shared" ref="K11" si="2">J11*(1+K12)</f>
        <v>281753.01808499999</v>
      </c>
      <c r="L11" s="16">
        <f t="shared" ref="L11" si="3">K11*(1+L12)</f>
        <v>264847.8369999</v>
      </c>
      <c r="M11" s="16">
        <f>L11*(1+M12)</f>
        <v>283387.18558989302</v>
      </c>
      <c r="N11" s="16">
        <f t="shared" ref="N11:R11" si="4">M11*(1+N12)</f>
        <v>297556.5448693877</v>
      </c>
      <c r="O11" s="16">
        <f t="shared" si="4"/>
        <v>285654.28307461221</v>
      </c>
      <c r="P11" s="16">
        <f t="shared" si="4"/>
        <v>294223.91156685055</v>
      </c>
      <c r="Q11" s="16">
        <f t="shared" si="4"/>
        <v>303050.62891385605</v>
      </c>
      <c r="R11" s="16">
        <f t="shared" si="4"/>
        <v>308354.01491984853</v>
      </c>
    </row>
    <row r="12" spans="1:28" x14ac:dyDescent="0.25">
      <c r="A12" s="5"/>
      <c r="B12" s="4" t="s">
        <v>1</v>
      </c>
      <c r="C12" s="13"/>
      <c r="D12" s="13"/>
      <c r="E12" s="13" t="e">
        <f t="shared" ref="E12:F12" si="5">E11/D11-1</f>
        <v>#DIV/0!</v>
      </c>
      <c r="F12" s="13">
        <f t="shared" si="5"/>
        <v>7.1159937078384861E-2</v>
      </c>
      <c r="G12" s="13">
        <f>G11/F11-1</f>
        <v>-0.11775230374616041</v>
      </c>
      <c r="H12" s="66">
        <f>H11/G11-1</f>
        <v>0.11852802354588032</v>
      </c>
      <c r="I12" s="66">
        <v>0.05</v>
      </c>
      <c r="J12" s="66">
        <v>0.03</v>
      </c>
      <c r="K12" s="66">
        <v>4.4999999999999998E-2</v>
      </c>
      <c r="L12" s="66">
        <v>-0.06</v>
      </c>
      <c r="M12" s="66">
        <v>7.0000000000000007E-2</v>
      </c>
      <c r="N12" s="66">
        <v>0.05</v>
      </c>
      <c r="O12" s="66">
        <v>-0.04</v>
      </c>
      <c r="P12" s="66">
        <v>0.03</v>
      </c>
      <c r="Q12" s="66">
        <v>0.03</v>
      </c>
      <c r="R12" s="66">
        <v>1.7500000000000002E-2</v>
      </c>
    </row>
    <row r="13" spans="1:28" ht="15.95" customHeight="1" x14ac:dyDescent="0.25">
      <c r="A13" s="5"/>
      <c r="B13" s="4" t="s">
        <v>16</v>
      </c>
      <c r="C13" s="13"/>
      <c r="D13" s="13"/>
      <c r="E13" s="13">
        <f>E14/E11</f>
        <v>7.2520977405034576E-2</v>
      </c>
      <c r="F13" s="13">
        <f t="shared" ref="F13:G13" si="6">F14/F11</f>
        <v>7.6379872700212167E-2</v>
      </c>
      <c r="G13" s="13">
        <f t="shared" si="6"/>
        <v>4.75852910033919E-2</v>
      </c>
      <c r="H13" s="66">
        <v>7.5399999999999995E-2</v>
      </c>
      <c r="I13" s="66">
        <v>7.0000000000000007E-2</v>
      </c>
      <c r="J13" s="66">
        <v>7.8E-2</v>
      </c>
      <c r="K13" s="66">
        <v>0.08</v>
      </c>
      <c r="L13" s="66">
        <v>2.5000000000000001E-2</v>
      </c>
      <c r="M13" s="66">
        <v>7.0000000000000007E-2</v>
      </c>
      <c r="N13" s="66">
        <v>7.0000000000000007E-2</v>
      </c>
      <c r="O13" s="66">
        <v>0.03</v>
      </c>
      <c r="P13" s="66">
        <v>0.06</v>
      </c>
      <c r="Q13" s="66">
        <v>6.5000000000000002E-2</v>
      </c>
      <c r="R13" s="66">
        <v>8.7999999999999995E-2</v>
      </c>
    </row>
    <row r="14" spans="1:28" ht="17.100000000000001" customHeight="1" x14ac:dyDescent="0.25">
      <c r="A14" s="5"/>
      <c r="B14" s="4" t="s">
        <v>17</v>
      </c>
      <c r="C14" s="12"/>
      <c r="D14" s="12"/>
      <c r="E14" s="12">
        <v>17104</v>
      </c>
      <c r="F14" s="12">
        <v>19296</v>
      </c>
      <c r="G14" s="12">
        <v>10606</v>
      </c>
      <c r="H14" s="16">
        <f>H11*H13</f>
        <v>18797.370799999997</v>
      </c>
      <c r="I14" s="16">
        <f>I11*I13</f>
        <v>18323.697000000004</v>
      </c>
      <c r="J14" s="16">
        <f>J11*J13</f>
        <v>21030.368814000001</v>
      </c>
      <c r="K14" s="16">
        <f>K11*K13</f>
        <v>22540.241446799999</v>
      </c>
      <c r="L14" s="16">
        <f t="shared" ref="L14:R14" si="7">L11*L13</f>
        <v>6621.1959249975007</v>
      </c>
      <c r="M14" s="16">
        <f t="shared" si="7"/>
        <v>19837.102991292515</v>
      </c>
      <c r="N14" s="16">
        <f t="shared" si="7"/>
        <v>20828.958140857139</v>
      </c>
      <c r="O14" s="16">
        <f>O11*O13</f>
        <v>8569.6284922383657</v>
      </c>
      <c r="P14" s="16">
        <f t="shared" si="7"/>
        <v>17653.434694011034</v>
      </c>
      <c r="Q14" s="16">
        <f t="shared" si="7"/>
        <v>19698.290879400643</v>
      </c>
      <c r="R14" s="16">
        <f t="shared" si="7"/>
        <v>27135.15331294667</v>
      </c>
    </row>
    <row r="15" spans="1:28" ht="16.5" thickBot="1" x14ac:dyDescent="0.3">
      <c r="A15" s="15">
        <v>0.25</v>
      </c>
      <c r="B15" s="4" t="s">
        <v>29</v>
      </c>
      <c r="C15" s="14"/>
      <c r="D15" s="12"/>
      <c r="E15" s="12">
        <v>11827</v>
      </c>
      <c r="F15" s="12">
        <v>13346</v>
      </c>
      <c r="G15" s="12">
        <v>8824</v>
      </c>
      <c r="H15" s="16">
        <f>H11*0.0558</f>
        <v>13911.051600000001</v>
      </c>
      <c r="I15" s="16">
        <f>I11*0.055</f>
        <v>14397.190500000001</v>
      </c>
      <c r="J15" s="16">
        <f>J11*0.059</f>
        <v>15907.586667</v>
      </c>
      <c r="K15" s="16">
        <f>K11*0.0598</f>
        <v>16848.830481483001</v>
      </c>
      <c r="L15" s="16">
        <f t="shared" ref="L15" si="8">L14*(1-$A$15)</f>
        <v>4965.8969437481255</v>
      </c>
      <c r="M15" s="16">
        <f t="shared" ref="M15:Q15" si="9">M14*(1-$A$15)</f>
        <v>14877.827243469386</v>
      </c>
      <c r="N15" s="16">
        <f t="shared" si="9"/>
        <v>15621.718605642855</v>
      </c>
      <c r="O15" s="16">
        <f t="shared" si="9"/>
        <v>6427.2213691787747</v>
      </c>
      <c r="P15" s="16">
        <f t="shared" si="9"/>
        <v>13240.076020508275</v>
      </c>
      <c r="Q15" s="16">
        <f t="shared" si="9"/>
        <v>14773.718159550483</v>
      </c>
      <c r="R15" s="16">
        <f>R14*(1-$A$15)</f>
        <v>20351.364984710002</v>
      </c>
    </row>
    <row r="16" spans="1:28" ht="32.25" thickBot="1" x14ac:dyDescent="0.3">
      <c r="A16" s="17" t="s">
        <v>6</v>
      </c>
      <c r="B16" s="18"/>
      <c r="C16" s="19"/>
      <c r="D16" s="19"/>
      <c r="E16" s="20">
        <f t="shared" ref="E16:G16" si="10">E15/E14</f>
        <v>0.69147567820392886</v>
      </c>
      <c r="F16" s="20">
        <f t="shared" si="10"/>
        <v>0.69164593698175791</v>
      </c>
      <c r="G16" s="20">
        <f t="shared" si="10"/>
        <v>0.83198189703941161</v>
      </c>
      <c r="H16" s="20">
        <f t="shared" ref="H16:K16" si="11">H15/H14</f>
        <v>0.74005305039787816</v>
      </c>
      <c r="I16" s="20">
        <f>I15/I14</f>
        <v>0.78571428571428559</v>
      </c>
      <c r="J16" s="20">
        <f t="shared" si="11"/>
        <v>0.75641025641025639</v>
      </c>
      <c r="K16" s="20">
        <f t="shared" si="11"/>
        <v>0.74750000000000005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60" t="s">
        <v>13</v>
      </c>
      <c r="G19" s="61"/>
      <c r="H19" s="62">
        <f>H15/(1+$C$56)</f>
        <v>12476.279461883409</v>
      </c>
      <c r="I19" s="62">
        <f>I15/(1+$C$56)^2</f>
        <v>11580.518811960828</v>
      </c>
      <c r="J19" s="62">
        <f>J15/(1+$C$56)^3</f>
        <v>11475.71346437602</v>
      </c>
      <c r="K19" s="62">
        <f>K15/(1+$C$56)^4</f>
        <v>10901.099188300097</v>
      </c>
      <c r="L19" s="62">
        <f>L15/(1+$C$56)^5</f>
        <v>2881.5314605304561</v>
      </c>
      <c r="M19" s="62">
        <f>M15/(1+$C$56)^6</f>
        <v>7742.6621127795943</v>
      </c>
      <c r="N19" s="62">
        <f>N15/(1+$C$56)^7</f>
        <v>7291.2961600166582</v>
      </c>
      <c r="O19" s="62">
        <f>O15/(1+$C$56)^8</f>
        <v>2690.4462448235713</v>
      </c>
      <c r="P19" s="62">
        <f>P15/(1+$C$56)^9</f>
        <v>4970.6899231717998</v>
      </c>
      <c r="Q19" s="62">
        <f>Q15/(1+$C$56)^10</f>
        <v>4974.4049380620618</v>
      </c>
      <c r="R19" s="63">
        <f>(R15/(C56-R12))/(1+C56)^10</f>
        <v>70281.375645613734</v>
      </c>
    </row>
    <row r="20" spans="1:18" x14ac:dyDescent="0.25">
      <c r="A20" s="2"/>
      <c r="C20" s="1" t="s">
        <v>27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28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8" t="s">
        <v>26</v>
      </c>
      <c r="B23" s="39"/>
      <c r="C23" s="39"/>
      <c r="D23" s="40"/>
      <c r="E23" s="28"/>
      <c r="F23" s="39"/>
      <c r="G23" s="28"/>
      <c r="H23" s="28"/>
      <c r="I23" s="28"/>
      <c r="J23" s="29"/>
    </row>
    <row r="24" spans="1:18" x14ac:dyDescent="0.25">
      <c r="A24" s="41"/>
      <c r="B24" s="42"/>
      <c r="C24" s="42"/>
      <c r="D24" s="43"/>
      <c r="E24" s="42"/>
      <c r="F24" s="42"/>
      <c r="G24" s="31"/>
      <c r="H24" s="31"/>
      <c r="I24" s="31"/>
      <c r="J24" s="32"/>
    </row>
    <row r="25" spans="1:18" x14ac:dyDescent="0.25">
      <c r="A25" s="41" t="s">
        <v>7</v>
      </c>
      <c r="B25" s="42" t="s">
        <v>40</v>
      </c>
      <c r="C25" s="42"/>
      <c r="D25" s="44">
        <v>0.1</v>
      </c>
      <c r="E25" s="31"/>
      <c r="F25" s="42" t="s">
        <v>51</v>
      </c>
      <c r="G25" s="31"/>
      <c r="H25" s="31"/>
      <c r="I25" s="31"/>
      <c r="J25" s="32"/>
    </row>
    <row r="26" spans="1:18" x14ac:dyDescent="0.25">
      <c r="A26" s="41"/>
      <c r="B26" s="42" t="s">
        <v>52</v>
      </c>
      <c r="C26" s="42"/>
      <c r="D26" s="44">
        <v>0.01</v>
      </c>
      <c r="E26" s="31"/>
      <c r="F26" s="42" t="s">
        <v>53</v>
      </c>
      <c r="G26" s="31"/>
      <c r="H26" s="31"/>
      <c r="I26" s="31"/>
      <c r="J26" s="32"/>
    </row>
    <row r="27" spans="1:18" x14ac:dyDescent="0.25">
      <c r="A27" s="41"/>
      <c r="B27" s="42"/>
      <c r="C27" s="42"/>
      <c r="D27" s="44"/>
      <c r="E27" s="31"/>
      <c r="F27" s="42"/>
      <c r="G27" s="31"/>
      <c r="H27" s="31"/>
      <c r="I27" s="31"/>
      <c r="J27" s="32"/>
    </row>
    <row r="28" spans="1:18" x14ac:dyDescent="0.25">
      <c r="A28" s="41"/>
      <c r="B28" s="42"/>
      <c r="C28" s="42"/>
      <c r="D28" s="45"/>
      <c r="E28" s="31"/>
      <c r="F28" s="42"/>
      <c r="G28" s="31"/>
      <c r="H28" s="31"/>
      <c r="I28" s="31"/>
      <c r="J28" s="32"/>
    </row>
    <row r="29" spans="1:18" x14ac:dyDescent="0.25">
      <c r="A29" s="41"/>
      <c r="B29" s="42"/>
      <c r="C29" s="42"/>
      <c r="D29" s="45"/>
      <c r="E29" s="31"/>
      <c r="F29" s="42"/>
      <c r="G29" s="31"/>
      <c r="H29" s="31"/>
      <c r="I29" s="31"/>
      <c r="J29" s="32"/>
    </row>
    <row r="30" spans="1:18" x14ac:dyDescent="0.25">
      <c r="A30" s="41"/>
      <c r="B30" s="42" t="s">
        <v>8</v>
      </c>
      <c r="C30" s="42"/>
      <c r="D30" s="46">
        <f>D25+D26+D27</f>
        <v>0.11</v>
      </c>
      <c r="E30" s="31"/>
      <c r="F30" s="42"/>
      <c r="G30" s="31"/>
      <c r="H30" s="31"/>
      <c r="I30" s="31"/>
      <c r="J30" s="32"/>
    </row>
    <row r="31" spans="1:18" x14ac:dyDescent="0.25">
      <c r="A31" s="41"/>
      <c r="B31" s="42"/>
      <c r="C31" s="42"/>
      <c r="D31" s="43"/>
      <c r="E31" s="31"/>
      <c r="F31" s="42"/>
      <c r="G31" s="31"/>
      <c r="H31" s="31"/>
      <c r="I31" s="31"/>
      <c r="J31" s="32"/>
    </row>
    <row r="32" spans="1:18" x14ac:dyDescent="0.25">
      <c r="A32" s="30"/>
      <c r="B32" s="31"/>
      <c r="C32" s="47"/>
      <c r="D32" s="31"/>
      <c r="E32" s="42"/>
      <c r="F32" s="42"/>
      <c r="G32" s="31"/>
      <c r="H32" s="31"/>
      <c r="I32" s="31"/>
      <c r="J32" s="32"/>
    </row>
    <row r="33" spans="1:10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2"/>
    </row>
    <row r="34" spans="1:10" x14ac:dyDescent="0.25">
      <c r="A34" s="41" t="s">
        <v>9</v>
      </c>
      <c r="B34" s="42"/>
      <c r="C34" s="48"/>
      <c r="D34" s="33">
        <v>5.0000000000000001E-3</v>
      </c>
      <c r="E34" s="31"/>
      <c r="F34" s="31" t="s">
        <v>50</v>
      </c>
      <c r="G34" s="31"/>
      <c r="H34" s="31"/>
      <c r="I34" s="31"/>
      <c r="J34" s="32"/>
    </row>
    <row r="35" spans="1:10" ht="15.75" hidden="1" customHeigh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2"/>
    </row>
    <row r="36" spans="1:10" ht="15.75" hidden="1" customHeight="1" x14ac:dyDescent="0.25">
      <c r="A36" s="30"/>
      <c r="B36" s="31" t="s">
        <v>10</v>
      </c>
      <c r="C36" s="31"/>
      <c r="D36" s="49">
        <v>0.08</v>
      </c>
      <c r="E36" s="31"/>
      <c r="F36" s="31"/>
      <c r="G36" s="31"/>
      <c r="H36" s="31"/>
      <c r="I36" s="31"/>
      <c r="J36" s="32"/>
    </row>
    <row r="37" spans="1:10" ht="15.75" hidden="1" customHeigh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15.75" hidden="1" customHeigh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2"/>
    </row>
    <row r="39" spans="1:10" ht="15.75" hidden="1" customHeigh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2"/>
    </row>
    <row r="40" spans="1:10" hidden="1" x14ac:dyDescent="0.25">
      <c r="A40" s="30"/>
      <c r="B40" s="50"/>
      <c r="C40" s="50">
        <v>0.12</v>
      </c>
      <c r="D40" s="50" t="e">
        <f>((NPV(C40,$H$15:$R$15)+(#REF!*(1+#REF!)/(C40-#REF!))/(1+C40)^(2040-2020))/$D$50)/$C$52-1</f>
        <v>#REF!</v>
      </c>
      <c r="E40" s="31"/>
      <c r="F40" s="31"/>
      <c r="G40" s="31"/>
      <c r="H40" s="31"/>
      <c r="I40" s="31"/>
      <c r="J40" s="32"/>
    </row>
    <row r="41" spans="1:10" hidden="1" x14ac:dyDescent="0.25">
      <c r="A41" s="30"/>
      <c r="B41" s="50"/>
      <c r="C41" s="50">
        <v>0.14000000000000001</v>
      </c>
      <c r="D41" s="50" t="e">
        <f>((NPV(C41,$H$15:$R$15)+(#REF!*(1+#REF!)/(C41-#REF!))/(1+C41)^(2040-2020))/$D$50)/$C$52-1</f>
        <v>#REF!</v>
      </c>
      <c r="E41" s="31"/>
      <c r="F41" s="31"/>
      <c r="G41" s="31"/>
      <c r="H41" s="31"/>
      <c r="I41" s="31"/>
      <c r="J41" s="32"/>
    </row>
    <row r="42" spans="1:10" hidden="1" x14ac:dyDescent="0.25">
      <c r="A42" s="30"/>
      <c r="B42" s="50"/>
      <c r="C42" s="50">
        <v>0.16</v>
      </c>
      <c r="D42" s="50" t="e">
        <f>((NPV(C42,$H$15:$R$15)+(#REF!*(1+#REF!)/(C42-#REF!))/(1+C42)^(2040-2020))/$D$50)/$C$52-1</f>
        <v>#REF!</v>
      </c>
      <c r="E42" s="31"/>
      <c r="F42" s="31"/>
      <c r="G42" s="31"/>
      <c r="H42" s="31"/>
      <c r="I42" s="31"/>
      <c r="J42" s="32"/>
    </row>
    <row r="43" spans="1:10" hidden="1" x14ac:dyDescent="0.25">
      <c r="A43" s="30"/>
      <c r="B43" s="50"/>
      <c r="C43" s="50">
        <v>0.18</v>
      </c>
      <c r="D43" s="50" t="e">
        <f>((NPV(C43,$H$15:$R$15)+(#REF!*(1+#REF!)/(C43-#REF!))/(1+C43)^(2040-2020))/$D$50)/$C$52-1</f>
        <v>#REF!</v>
      </c>
      <c r="E43" s="31"/>
      <c r="F43" s="31"/>
      <c r="G43" s="31"/>
      <c r="H43" s="31"/>
      <c r="I43" s="31"/>
      <c r="J43" s="32"/>
    </row>
    <row r="44" spans="1:10" hidden="1" x14ac:dyDescent="0.25">
      <c r="A44" s="30"/>
      <c r="B44" s="50"/>
      <c r="C44" s="50">
        <v>0.2</v>
      </c>
      <c r="D44" s="50" t="e">
        <f>((NPV(C44,$H$15:$R$15)+(#REF!*(1+#REF!)/(C44-#REF!))/(1+C44)^(2040-2020))/$D$50)/$C$52-1</f>
        <v>#REF!</v>
      </c>
      <c r="E44" s="31"/>
      <c r="F44" s="31"/>
      <c r="G44" s="31"/>
      <c r="H44" s="31"/>
      <c r="I44" s="31"/>
      <c r="J44" s="32"/>
    </row>
    <row r="45" spans="1:10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32"/>
    </row>
    <row r="46" spans="1:10" ht="16.5" thickBot="1" x14ac:dyDescent="0.3">
      <c r="A46" s="34"/>
      <c r="B46" s="35" t="s">
        <v>30</v>
      </c>
      <c r="C46" s="35"/>
      <c r="D46" s="51">
        <f>D30+D34</f>
        <v>0.115</v>
      </c>
      <c r="E46" s="35"/>
      <c r="F46" s="35"/>
      <c r="G46" s="35"/>
      <c r="H46" s="35"/>
      <c r="I46" s="35"/>
      <c r="J46" s="36"/>
    </row>
    <row r="48" spans="1:10" x14ac:dyDescent="0.25">
      <c r="A48" s="21"/>
      <c r="B48" s="22"/>
      <c r="C48" s="23">
        <v>44491</v>
      </c>
      <c r="D48" s="24" t="s">
        <v>3</v>
      </c>
      <c r="E48" s="25"/>
      <c r="F48" s="84" t="s">
        <v>31</v>
      </c>
      <c r="G48" s="85" t="s">
        <v>32</v>
      </c>
      <c r="H48" s="26"/>
      <c r="I48" s="26"/>
    </row>
    <row r="49" spans="1:7" x14ac:dyDescent="0.25">
      <c r="A49" s="52" t="s">
        <v>0</v>
      </c>
      <c r="B49" s="53" t="s">
        <v>5</v>
      </c>
      <c r="C49" s="54">
        <f>C50*F50+C51*G50</f>
        <v>122530.87513209999</v>
      </c>
      <c r="D49" s="55">
        <f>SUM(H19:R19)</f>
        <v>147266.01741151823</v>
      </c>
      <c r="E49" s="53" t="s">
        <v>39</v>
      </c>
      <c r="F49" s="1" t="s">
        <v>33</v>
      </c>
      <c r="G49" s="1" t="s">
        <v>33</v>
      </c>
    </row>
    <row r="50" spans="1:7" x14ac:dyDescent="0.25">
      <c r="A50" s="52"/>
      <c r="B50" s="53" t="s">
        <v>35</v>
      </c>
      <c r="C50" s="54">
        <v>206.205445</v>
      </c>
      <c r="D50" s="54">
        <f>C50+C51</f>
        <v>501.29526299999998</v>
      </c>
      <c r="E50" s="53"/>
      <c r="F50" s="86">
        <v>196.1</v>
      </c>
      <c r="G50" s="86">
        <v>278.2</v>
      </c>
    </row>
    <row r="51" spans="1:7" x14ac:dyDescent="0.25">
      <c r="A51" s="52"/>
      <c r="B51" s="53" t="s">
        <v>36</v>
      </c>
      <c r="C51" s="54">
        <v>295.08981799999998</v>
      </c>
      <c r="D51" s="54"/>
      <c r="E51" s="53"/>
      <c r="F51" s="86"/>
      <c r="G51" s="86"/>
    </row>
    <row r="52" spans="1:7" x14ac:dyDescent="0.25">
      <c r="A52" s="52"/>
      <c r="B52" s="53" t="s">
        <v>37</v>
      </c>
      <c r="C52" s="67">
        <f>(F50*C50+C51*G50)/(C50+C51)</f>
        <v>244.42855174576025</v>
      </c>
      <c r="D52" s="56">
        <f>D49/(D50)</f>
        <v>293.7710133748426</v>
      </c>
      <c r="E52" s="53" t="s">
        <v>39</v>
      </c>
      <c r="F52" s="86" t="s">
        <v>34</v>
      </c>
      <c r="G52" s="86" t="s">
        <v>34</v>
      </c>
    </row>
    <row r="53" spans="1:7" x14ac:dyDescent="0.25">
      <c r="A53" s="52"/>
      <c r="B53" s="53" t="s">
        <v>2</v>
      </c>
      <c r="C53" s="53"/>
      <c r="D53" s="68">
        <f>IF(C52/D52-1&gt;0,0,C52/D52-1)</f>
        <v>-0.16796232229393893</v>
      </c>
      <c r="E53" s="53"/>
      <c r="F53" s="86"/>
      <c r="G53" s="86"/>
    </row>
    <row r="54" spans="1:7" x14ac:dyDescent="0.25">
      <c r="A54" s="52"/>
      <c r="B54" s="53" t="s">
        <v>15</v>
      </c>
      <c r="C54" s="53"/>
      <c r="D54" s="69">
        <f>IF(C52/D52-1&lt;0,0,C52/D52-1)</f>
        <v>0</v>
      </c>
      <c r="E54" s="53"/>
    </row>
    <row r="55" spans="1:7" x14ac:dyDescent="0.25">
      <c r="A55" s="53"/>
      <c r="B55" s="53"/>
      <c r="C55" s="53"/>
      <c r="D55" s="57"/>
      <c r="E55" s="57"/>
    </row>
    <row r="56" spans="1:7" x14ac:dyDescent="0.25">
      <c r="A56" s="57" t="s">
        <v>26</v>
      </c>
      <c r="B56" s="53"/>
      <c r="C56" s="59">
        <f>D46</f>
        <v>0.115</v>
      </c>
      <c r="D56" s="58"/>
      <c r="E56" s="53"/>
    </row>
    <row r="57" spans="1:7" ht="16.5" thickBot="1" x14ac:dyDescent="0.3">
      <c r="A57" s="27"/>
      <c r="C57" s="78"/>
      <c r="D57" s="79"/>
    </row>
    <row r="58" spans="1:7" x14ac:dyDescent="0.25">
      <c r="A58" s="70" t="s">
        <v>25</v>
      </c>
      <c r="B58" s="28"/>
      <c r="C58" s="81">
        <v>7</v>
      </c>
      <c r="D58" s="28"/>
      <c r="E58" s="29"/>
      <c r="F58" s="1" t="s">
        <v>55</v>
      </c>
    </row>
    <row r="59" spans="1:7" x14ac:dyDescent="0.25">
      <c r="A59" s="30"/>
      <c r="B59" s="31"/>
      <c r="C59" s="82"/>
      <c r="D59" s="31"/>
      <c r="E59" s="32"/>
    </row>
    <row r="60" spans="1:7" x14ac:dyDescent="0.25">
      <c r="A60" s="30" t="s">
        <v>18</v>
      </c>
      <c r="B60" s="31"/>
      <c r="C60" s="82"/>
      <c r="D60" s="31"/>
      <c r="E60" s="71">
        <f>R15*C58</f>
        <v>142459.55489297002</v>
      </c>
    </row>
    <row r="61" spans="1:7" x14ac:dyDescent="0.25">
      <c r="A61" s="30"/>
      <c r="B61" s="31"/>
      <c r="C61" s="82"/>
      <c r="D61" s="31"/>
      <c r="E61" s="32"/>
    </row>
    <row r="62" spans="1:7" x14ac:dyDescent="0.25">
      <c r="A62" s="30" t="s">
        <v>19</v>
      </c>
      <c r="B62" s="31"/>
      <c r="C62" s="83">
        <v>0.35</v>
      </c>
      <c r="D62" s="31"/>
      <c r="E62" s="32"/>
    </row>
    <row r="63" spans="1:7" x14ac:dyDescent="0.25">
      <c r="A63" s="30"/>
      <c r="B63" s="31"/>
      <c r="C63" s="31"/>
      <c r="D63" s="31"/>
      <c r="E63" s="32"/>
    </row>
    <row r="64" spans="1:7" x14ac:dyDescent="0.25">
      <c r="A64" s="30" t="s">
        <v>20</v>
      </c>
      <c r="B64" s="31"/>
      <c r="C64" s="31"/>
      <c r="D64" s="31"/>
      <c r="E64" s="71">
        <f>SUM(H15:R15)*C62</f>
        <v>52962.868901351809</v>
      </c>
    </row>
    <row r="65" spans="1:5" x14ac:dyDescent="0.25">
      <c r="A65" s="30"/>
      <c r="B65" s="31"/>
      <c r="C65" s="31"/>
      <c r="D65" s="31"/>
      <c r="E65" s="72"/>
    </row>
    <row r="66" spans="1:5" x14ac:dyDescent="0.25">
      <c r="A66" s="73" t="s">
        <v>21</v>
      </c>
      <c r="B66" s="31"/>
      <c r="C66" s="31"/>
      <c r="D66" s="31"/>
      <c r="E66" s="74">
        <f>(E64*0.25)*-1</f>
        <v>-13240.717225337952</v>
      </c>
    </row>
    <row r="67" spans="1:5" x14ac:dyDescent="0.25">
      <c r="A67" s="30"/>
      <c r="B67" s="31"/>
      <c r="C67" s="50"/>
      <c r="D67" s="50"/>
      <c r="E67" s="75"/>
    </row>
    <row r="68" spans="1:5" x14ac:dyDescent="0.25">
      <c r="A68" s="30" t="s">
        <v>22</v>
      </c>
      <c r="B68" s="31"/>
      <c r="C68" s="31"/>
      <c r="D68" s="31"/>
      <c r="E68" s="71">
        <f>SUM(E60:E66)</f>
        <v>182181.70656898388</v>
      </c>
    </row>
    <row r="69" spans="1:5" x14ac:dyDescent="0.25">
      <c r="A69" s="30"/>
      <c r="B69" s="31"/>
      <c r="C69" s="31"/>
      <c r="D69" s="31"/>
      <c r="E69" s="71"/>
    </row>
    <row r="70" spans="1:5" x14ac:dyDescent="0.25">
      <c r="A70" s="30" t="s">
        <v>23</v>
      </c>
      <c r="B70" s="31"/>
      <c r="C70" s="31"/>
      <c r="D70" s="31"/>
      <c r="E70" s="75">
        <f>E68/C49-1</f>
        <v>0.48682286299330357</v>
      </c>
    </row>
    <row r="71" spans="1:5" x14ac:dyDescent="0.25">
      <c r="A71" s="30"/>
      <c r="B71" s="31"/>
      <c r="C71" s="31"/>
      <c r="D71" s="31"/>
      <c r="E71" s="32"/>
    </row>
    <row r="72" spans="1:5" ht="16.5" thickBot="1" x14ac:dyDescent="0.3">
      <c r="A72" s="76" t="s">
        <v>24</v>
      </c>
      <c r="B72" s="77"/>
      <c r="C72" s="77"/>
      <c r="D72" s="77"/>
      <c r="E72" s="80">
        <f>(E68/C49)^(1/10)-1</f>
        <v>4.0461280398655486E-2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2"/>
  <sheetViews>
    <sheetView topLeftCell="A23" zoomScale="90" zoomScaleNormal="90" workbookViewId="0">
      <selection activeCell="J25" sqref="J25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7" t="s">
        <v>12</v>
      </c>
    </row>
    <row r="4" spans="1:28" x14ac:dyDescent="0.25">
      <c r="B4" s="27" t="s">
        <v>38</v>
      </c>
      <c r="L4" s="31"/>
      <c r="M4" s="31"/>
      <c r="N4" s="31"/>
      <c r="O4" s="31"/>
      <c r="P4" s="31"/>
      <c r="Q4" s="31"/>
      <c r="R4" s="31"/>
      <c r="S4" s="31"/>
      <c r="T4" s="31"/>
    </row>
    <row r="5" spans="1:28" x14ac:dyDescent="0.25">
      <c r="L5" s="31"/>
      <c r="M5" s="31"/>
      <c r="N5" s="31"/>
      <c r="O5" s="31"/>
      <c r="P5" s="31"/>
      <c r="Q5" s="31"/>
      <c r="R5" s="31"/>
      <c r="S5" s="31"/>
      <c r="T5" s="31"/>
    </row>
    <row r="6" spans="1:28" x14ac:dyDescent="0.25">
      <c r="B6" s="1" t="s">
        <v>54</v>
      </c>
      <c r="L6" s="31"/>
      <c r="M6" s="31"/>
      <c r="N6" s="31"/>
      <c r="O6" s="31"/>
      <c r="P6" s="31"/>
      <c r="Q6" s="31"/>
      <c r="R6" s="31"/>
      <c r="S6" s="31"/>
      <c r="T6" s="31"/>
    </row>
    <row r="7" spans="1:28" x14ac:dyDescent="0.25">
      <c r="L7" s="31"/>
      <c r="M7" s="31"/>
      <c r="N7" s="31"/>
      <c r="O7" s="31"/>
      <c r="P7" s="31"/>
      <c r="Q7" s="31"/>
      <c r="R7" s="31"/>
      <c r="S7" s="31"/>
      <c r="T7" s="31"/>
    </row>
    <row r="9" spans="1:28" s="8" customFormat="1" x14ac:dyDescent="0.25">
      <c r="H9" s="9" t="s">
        <v>11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2016</v>
      </c>
      <c r="D10" s="11">
        <v>2017</v>
      </c>
      <c r="E10" s="11">
        <v>2018</v>
      </c>
      <c r="F10" s="11">
        <v>2019</v>
      </c>
      <c r="G10" s="11">
        <v>2020</v>
      </c>
      <c r="H10" s="65">
        <v>2021</v>
      </c>
      <c r="I10" s="65">
        <v>2022</v>
      </c>
      <c r="J10" s="65">
        <v>2023</v>
      </c>
      <c r="K10" s="65">
        <v>2024</v>
      </c>
      <c r="L10" s="65">
        <v>2025</v>
      </c>
      <c r="M10" s="65">
        <v>2026</v>
      </c>
      <c r="N10" s="65">
        <v>2027</v>
      </c>
      <c r="O10" s="65">
        <v>2028</v>
      </c>
      <c r="P10" s="65">
        <v>2029</v>
      </c>
      <c r="Q10" s="65">
        <v>2030</v>
      </c>
      <c r="R10" s="64" t="s">
        <v>14</v>
      </c>
    </row>
    <row r="11" spans="1:28" x14ac:dyDescent="0.25">
      <c r="A11" s="5"/>
      <c r="B11" s="4" t="s">
        <v>4</v>
      </c>
      <c r="C11" s="12"/>
      <c r="D11" s="12"/>
      <c r="E11" s="12">
        <v>235849</v>
      </c>
      <c r="F11" s="12">
        <v>252632</v>
      </c>
      <c r="G11" s="12">
        <v>222884</v>
      </c>
      <c r="H11" s="16">
        <v>249302</v>
      </c>
      <c r="I11" s="16">
        <v>265379.88</v>
      </c>
      <c r="J11" s="16">
        <v>276028.31</v>
      </c>
      <c r="K11" s="16">
        <v>289114.78999999998</v>
      </c>
      <c r="L11" s="16">
        <f t="shared" ref="L11" si="0">K11*(1+L12)</f>
        <v>292005.93789999996</v>
      </c>
      <c r="M11" s="16">
        <f>L11*(1+M12)</f>
        <v>303686.17541599995</v>
      </c>
      <c r="N11" s="16">
        <f t="shared" ref="N11:R11" si="1">M11*(1+N12)</f>
        <v>273317.55787439999</v>
      </c>
      <c r="O11" s="16">
        <f t="shared" si="1"/>
        <v>286983.43576811999</v>
      </c>
      <c r="P11" s="16">
        <f t="shared" si="1"/>
        <v>298462.77319884481</v>
      </c>
      <c r="Q11" s="16">
        <f t="shared" si="1"/>
        <v>310401.28412679862</v>
      </c>
      <c r="R11" s="16">
        <f t="shared" si="1"/>
        <v>316609.30980933458</v>
      </c>
    </row>
    <row r="12" spans="1:28" x14ac:dyDescent="0.25">
      <c r="A12" s="5"/>
      <c r="B12" s="4" t="s">
        <v>1</v>
      </c>
      <c r="C12" s="13"/>
      <c r="D12" s="13"/>
      <c r="E12" s="13" t="e">
        <f t="shared" ref="E12:F12" si="2">E11/D11-1</f>
        <v>#DIV/0!</v>
      </c>
      <c r="F12" s="13">
        <f t="shared" si="2"/>
        <v>7.1159937078384861E-2</v>
      </c>
      <c r="G12" s="13">
        <f>G11/F11-1</f>
        <v>-0.11775230374616041</v>
      </c>
      <c r="H12" s="66">
        <f>H11/G11-1</f>
        <v>0.11852802354588032</v>
      </c>
      <c r="I12" s="66">
        <f t="shared" ref="I12:K12" si="3">I11/H11-1</f>
        <v>6.4491580492735734E-2</v>
      </c>
      <c r="J12" s="66">
        <f t="shared" si="3"/>
        <v>4.0125234814334831E-2</v>
      </c>
      <c r="K12" s="66">
        <f t="shared" si="3"/>
        <v>4.7409919656429267E-2</v>
      </c>
      <c r="L12" s="66">
        <v>0.01</v>
      </c>
      <c r="M12" s="66">
        <v>0.04</v>
      </c>
      <c r="N12" s="66">
        <v>-0.1</v>
      </c>
      <c r="O12" s="66">
        <v>0.05</v>
      </c>
      <c r="P12" s="66">
        <v>0.04</v>
      </c>
      <c r="Q12" s="66">
        <v>0.04</v>
      </c>
      <c r="R12" s="66">
        <v>0.02</v>
      </c>
    </row>
    <row r="13" spans="1:28" ht="15.95" customHeight="1" x14ac:dyDescent="0.25">
      <c r="A13" s="5"/>
      <c r="B13" s="4" t="s">
        <v>16</v>
      </c>
      <c r="C13" s="13"/>
      <c r="D13" s="13"/>
      <c r="E13" s="13">
        <f>E14/E11</f>
        <v>7.2520977405034576E-2</v>
      </c>
      <c r="F13" s="13">
        <f t="shared" ref="F13:G13" si="4">F14/F11</f>
        <v>7.6379872700212167E-2</v>
      </c>
      <c r="G13" s="13">
        <f t="shared" si="4"/>
        <v>4.75852910033919E-2</v>
      </c>
      <c r="H13" s="66">
        <v>7.5399999999999995E-2</v>
      </c>
      <c r="I13" s="66">
        <v>7.9799999999999996E-2</v>
      </c>
      <c r="J13" s="66">
        <v>8.2799999999999999E-2</v>
      </c>
      <c r="K13" s="66">
        <v>8.5199999999999998E-2</v>
      </c>
      <c r="L13" s="66">
        <v>0.08</v>
      </c>
      <c r="M13" s="66">
        <v>8.7999999999999995E-2</v>
      </c>
      <c r="N13" s="66">
        <v>0.02</v>
      </c>
      <c r="O13" s="66">
        <v>8.8999999999999996E-2</v>
      </c>
      <c r="P13" s="66">
        <v>9.0999999999999998E-2</v>
      </c>
      <c r="Q13" s="66">
        <v>9.4E-2</v>
      </c>
      <c r="R13" s="66">
        <v>0.11</v>
      </c>
    </row>
    <row r="14" spans="1:28" ht="17.100000000000001" customHeight="1" x14ac:dyDescent="0.25">
      <c r="A14" s="5"/>
      <c r="B14" s="4" t="s">
        <v>17</v>
      </c>
      <c r="C14" s="12"/>
      <c r="D14" s="12"/>
      <c r="E14" s="12">
        <v>17104</v>
      </c>
      <c r="F14" s="12">
        <v>19296</v>
      </c>
      <c r="G14" s="12">
        <v>10606</v>
      </c>
      <c r="H14" s="16">
        <f>H11*H13</f>
        <v>18797.370799999997</v>
      </c>
      <c r="I14" s="16">
        <f>I11*I13</f>
        <v>21177.314424</v>
      </c>
      <c r="J14" s="16">
        <f>J11*J13</f>
        <v>22855.144067999998</v>
      </c>
      <c r="K14" s="16">
        <f>K11*K13</f>
        <v>24632.580107999998</v>
      </c>
      <c r="L14" s="16">
        <f t="shared" ref="L14:R14" si="5">L11*L13</f>
        <v>23360.475031999998</v>
      </c>
      <c r="M14" s="16">
        <f t="shared" si="5"/>
        <v>26724.383436607994</v>
      </c>
      <c r="N14" s="16">
        <f t="shared" si="5"/>
        <v>5466.3511574880004</v>
      </c>
      <c r="O14" s="16">
        <f>O11*O13</f>
        <v>25541.525783362678</v>
      </c>
      <c r="P14" s="16">
        <f t="shared" si="5"/>
        <v>27160.112361094878</v>
      </c>
      <c r="Q14" s="16">
        <f t="shared" si="5"/>
        <v>29177.72070791907</v>
      </c>
      <c r="R14" s="16">
        <f t="shared" si="5"/>
        <v>34827.024079026807</v>
      </c>
    </row>
    <row r="15" spans="1:28" ht="16.5" thickBot="1" x14ac:dyDescent="0.3">
      <c r="A15" s="15">
        <v>0.25</v>
      </c>
      <c r="B15" s="4" t="s">
        <v>29</v>
      </c>
      <c r="C15" s="14"/>
      <c r="D15" s="12"/>
      <c r="E15" s="12">
        <v>11827</v>
      </c>
      <c r="F15" s="12">
        <v>13346</v>
      </c>
      <c r="G15" s="12">
        <v>8824</v>
      </c>
      <c r="H15" s="16">
        <f>H11*0.0558</f>
        <v>13911.051600000001</v>
      </c>
      <c r="I15" s="16">
        <f>I11*0.0601</f>
        <v>15949.330788000001</v>
      </c>
      <c r="J15" s="16">
        <f>J11*0.0629</f>
        <v>17362.180699</v>
      </c>
      <c r="K15" s="16">
        <f>K11*0.0655</f>
        <v>18937.018744999998</v>
      </c>
      <c r="L15" s="16">
        <f t="shared" ref="L15:Q15" si="6">L14*(1-$A$15)</f>
        <v>17520.356273999998</v>
      </c>
      <c r="M15" s="16">
        <f t="shared" si="6"/>
        <v>20043.287577455994</v>
      </c>
      <c r="N15" s="16">
        <f t="shared" si="6"/>
        <v>4099.7633681160005</v>
      </c>
      <c r="O15" s="16">
        <f t="shared" si="6"/>
        <v>19156.144337522008</v>
      </c>
      <c r="P15" s="16">
        <f t="shared" si="6"/>
        <v>20370.084270821157</v>
      </c>
      <c r="Q15" s="16">
        <f t="shared" si="6"/>
        <v>21883.290530939303</v>
      </c>
      <c r="R15" s="16">
        <f>R14*(1-$A$15)</f>
        <v>26120.268059270107</v>
      </c>
    </row>
    <row r="16" spans="1:28" ht="32.25" thickBot="1" x14ac:dyDescent="0.3">
      <c r="A16" s="17" t="s">
        <v>6</v>
      </c>
      <c r="B16" s="18"/>
      <c r="C16" s="19"/>
      <c r="D16" s="19"/>
      <c r="E16" s="20">
        <f t="shared" ref="E16:K16" si="7">E15/E14</f>
        <v>0.69147567820392886</v>
      </c>
      <c r="F16" s="20">
        <f t="shared" si="7"/>
        <v>0.69164593698175791</v>
      </c>
      <c r="G16" s="20">
        <f t="shared" si="7"/>
        <v>0.83198189703941161</v>
      </c>
      <c r="H16" s="20">
        <f t="shared" si="7"/>
        <v>0.74005305039787816</v>
      </c>
      <c r="I16" s="20">
        <f t="shared" si="7"/>
        <v>0.75313283208020054</v>
      </c>
      <c r="J16" s="20">
        <f t="shared" si="7"/>
        <v>0.75966183574879231</v>
      </c>
      <c r="K16" s="20">
        <f t="shared" si="7"/>
        <v>0.76877934272300463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60" t="s">
        <v>13</v>
      </c>
      <c r="G19" s="61"/>
      <c r="H19" s="62">
        <f>H15/(1+$C$56)</f>
        <v>12476.279461883409</v>
      </c>
      <c r="I19" s="62">
        <f>I15/(1+$C$56)^2</f>
        <v>12828.997798467695</v>
      </c>
      <c r="J19" s="62">
        <f>J15/(1+$C$56)^3</f>
        <v>12525.05581074536</v>
      </c>
      <c r="K19" s="62">
        <f>K15/(1+$C$56)^4</f>
        <v>12252.145328236056</v>
      </c>
      <c r="L19" s="62">
        <f>L15/(1+$C$56)^5</f>
        <v>10166.432846898366</v>
      </c>
      <c r="M19" s="62">
        <f>M15/(1+$C$56)^6</f>
        <v>10430.851279687649</v>
      </c>
      <c r="N19" s="62">
        <f>N15/(1+$C$56)^7</f>
        <v>1913.5275482508946</v>
      </c>
      <c r="O19" s="62">
        <f>O15/(1+$C$56)^8</f>
        <v>8018.7959365043062</v>
      </c>
      <c r="P19" s="62">
        <f>P15/(1+$C$56)^9</f>
        <v>7647.4917864742038</v>
      </c>
      <c r="Q19" s="62">
        <f>Q15/(1+$C$56)^10</f>
        <v>7368.243207467779</v>
      </c>
      <c r="R19" s="63">
        <f>(R15/(C56-R12))/(1+C56)^10</f>
        <v>92577.479045675806</v>
      </c>
    </row>
    <row r="20" spans="1:18" x14ac:dyDescent="0.25">
      <c r="A20" s="2"/>
      <c r="C20" s="1" t="s">
        <v>27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28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8" t="s">
        <v>26</v>
      </c>
      <c r="B23" s="39"/>
      <c r="C23" s="39"/>
      <c r="D23" s="40"/>
      <c r="E23" s="28"/>
      <c r="F23" s="39"/>
      <c r="G23" s="28"/>
      <c r="H23" s="28"/>
      <c r="I23" s="28"/>
      <c r="J23" s="29"/>
    </row>
    <row r="24" spans="1:18" x14ac:dyDescent="0.25">
      <c r="A24" s="41"/>
      <c r="B24" s="42"/>
      <c r="C24" s="42"/>
      <c r="D24" s="43"/>
      <c r="E24" s="42"/>
      <c r="F24" s="42"/>
      <c r="G24" s="31"/>
      <c r="H24" s="31"/>
      <c r="I24" s="31"/>
      <c r="J24" s="32"/>
    </row>
    <row r="25" spans="1:18" x14ac:dyDescent="0.25">
      <c r="A25" s="41" t="s">
        <v>7</v>
      </c>
      <c r="B25" s="42" t="s">
        <v>40</v>
      </c>
      <c r="C25" s="42"/>
      <c r="D25" s="44">
        <v>0.1</v>
      </c>
      <c r="E25" s="31"/>
      <c r="F25" s="42" t="s">
        <v>51</v>
      </c>
      <c r="G25" s="31"/>
      <c r="H25" s="31"/>
      <c r="I25" s="31"/>
      <c r="J25" s="32"/>
    </row>
    <row r="26" spans="1:18" x14ac:dyDescent="0.25">
      <c r="A26" s="41"/>
      <c r="B26" s="42" t="s">
        <v>52</v>
      </c>
      <c r="C26" s="42"/>
      <c r="D26" s="44">
        <v>0.01</v>
      </c>
      <c r="E26" s="31"/>
      <c r="F26" s="42" t="s">
        <v>53</v>
      </c>
      <c r="G26" s="31"/>
      <c r="H26" s="31"/>
      <c r="I26" s="31"/>
      <c r="J26" s="32"/>
    </row>
    <row r="27" spans="1:18" x14ac:dyDescent="0.25">
      <c r="A27" s="41"/>
      <c r="B27" s="42"/>
      <c r="C27" s="42"/>
      <c r="D27" s="44"/>
      <c r="E27" s="31"/>
      <c r="F27" s="42"/>
      <c r="G27" s="31"/>
      <c r="H27" s="31"/>
      <c r="I27" s="31"/>
      <c r="J27" s="32"/>
    </row>
    <row r="28" spans="1:18" x14ac:dyDescent="0.25">
      <c r="A28" s="41"/>
      <c r="B28" s="42"/>
      <c r="C28" s="42"/>
      <c r="D28" s="45"/>
      <c r="E28" s="31"/>
      <c r="F28" s="42"/>
      <c r="G28" s="31"/>
      <c r="H28" s="31"/>
      <c r="I28" s="31"/>
      <c r="J28" s="32"/>
    </row>
    <row r="29" spans="1:18" x14ac:dyDescent="0.25">
      <c r="A29" s="41"/>
      <c r="B29" s="42"/>
      <c r="C29" s="42"/>
      <c r="D29" s="45"/>
      <c r="E29" s="31"/>
      <c r="F29" s="42"/>
      <c r="G29" s="31"/>
      <c r="H29" s="31"/>
      <c r="I29" s="31"/>
      <c r="J29" s="32"/>
    </row>
    <row r="30" spans="1:18" x14ac:dyDescent="0.25">
      <c r="A30" s="41"/>
      <c r="B30" s="42" t="s">
        <v>8</v>
      </c>
      <c r="C30" s="42"/>
      <c r="D30" s="46">
        <f>D25+D26+D27</f>
        <v>0.11</v>
      </c>
      <c r="E30" s="31"/>
      <c r="F30" s="42"/>
      <c r="G30" s="31"/>
      <c r="H30" s="31"/>
      <c r="I30" s="31"/>
      <c r="J30" s="32"/>
    </row>
    <row r="31" spans="1:18" x14ac:dyDescent="0.25">
      <c r="A31" s="41"/>
      <c r="B31" s="42"/>
      <c r="C31" s="42"/>
      <c r="D31" s="43"/>
      <c r="E31" s="31"/>
      <c r="F31" s="42"/>
      <c r="G31" s="31"/>
      <c r="H31" s="31"/>
      <c r="I31" s="31"/>
      <c r="J31" s="32"/>
    </row>
    <row r="32" spans="1:18" x14ac:dyDescent="0.25">
      <c r="A32" s="30"/>
      <c r="B32" s="31"/>
      <c r="C32" s="47"/>
      <c r="D32" s="31"/>
      <c r="E32" s="42"/>
      <c r="F32" s="42"/>
      <c r="G32" s="31"/>
      <c r="H32" s="31"/>
      <c r="I32" s="31"/>
      <c r="J32" s="32"/>
    </row>
    <row r="33" spans="1:10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2"/>
    </row>
    <row r="34" spans="1:10" x14ac:dyDescent="0.25">
      <c r="A34" s="41" t="s">
        <v>9</v>
      </c>
      <c r="B34" s="42"/>
      <c r="C34" s="48"/>
      <c r="D34" s="33">
        <v>5.0000000000000001E-3</v>
      </c>
      <c r="E34" s="31"/>
      <c r="F34" s="31" t="s">
        <v>50</v>
      </c>
      <c r="G34" s="31"/>
      <c r="H34" s="31"/>
      <c r="I34" s="31"/>
      <c r="J34" s="32"/>
    </row>
    <row r="35" spans="1:10" ht="15.75" hidden="1" customHeigh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2"/>
    </row>
    <row r="36" spans="1:10" ht="15.75" hidden="1" customHeight="1" x14ac:dyDescent="0.25">
      <c r="A36" s="30"/>
      <c r="B36" s="31" t="s">
        <v>10</v>
      </c>
      <c r="C36" s="31"/>
      <c r="D36" s="49">
        <v>0.08</v>
      </c>
      <c r="E36" s="31"/>
      <c r="F36" s="31"/>
      <c r="G36" s="31"/>
      <c r="H36" s="31"/>
      <c r="I36" s="31"/>
      <c r="J36" s="32"/>
    </row>
    <row r="37" spans="1:10" ht="15.75" hidden="1" customHeigh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15.75" hidden="1" customHeigh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2"/>
    </row>
    <row r="39" spans="1:10" ht="15.75" hidden="1" customHeight="1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2"/>
    </row>
    <row r="40" spans="1:10" hidden="1" x14ac:dyDescent="0.25">
      <c r="A40" s="30"/>
      <c r="B40" s="50"/>
      <c r="C40" s="50">
        <v>0.12</v>
      </c>
      <c r="D40" s="50" t="e">
        <f>((NPV(C40,$H$15:$R$15)+(#REF!*(1+#REF!)/(C40-#REF!))/(1+C40)^(2040-2020))/$D$50)/$C$52-1</f>
        <v>#REF!</v>
      </c>
      <c r="E40" s="31"/>
      <c r="F40" s="31"/>
      <c r="G40" s="31"/>
      <c r="H40" s="31"/>
      <c r="I40" s="31"/>
      <c r="J40" s="32"/>
    </row>
    <row r="41" spans="1:10" hidden="1" x14ac:dyDescent="0.25">
      <c r="A41" s="30"/>
      <c r="B41" s="50"/>
      <c r="C41" s="50">
        <v>0.14000000000000001</v>
      </c>
      <c r="D41" s="50" t="e">
        <f>((NPV(C41,$H$15:$R$15)+(#REF!*(1+#REF!)/(C41-#REF!))/(1+C41)^(2040-2020))/$D$50)/$C$52-1</f>
        <v>#REF!</v>
      </c>
      <c r="E41" s="31"/>
      <c r="F41" s="31"/>
      <c r="G41" s="31"/>
      <c r="H41" s="31"/>
      <c r="I41" s="31"/>
      <c r="J41" s="32"/>
    </row>
    <row r="42" spans="1:10" hidden="1" x14ac:dyDescent="0.25">
      <c r="A42" s="30"/>
      <c r="B42" s="50"/>
      <c r="C42" s="50">
        <v>0.16</v>
      </c>
      <c r="D42" s="50" t="e">
        <f>((NPV(C42,$H$15:$R$15)+(#REF!*(1+#REF!)/(C42-#REF!))/(1+C42)^(2040-2020))/$D$50)/$C$52-1</f>
        <v>#REF!</v>
      </c>
      <c r="E42" s="31"/>
      <c r="F42" s="31"/>
      <c r="G42" s="31"/>
      <c r="H42" s="31"/>
      <c r="I42" s="31"/>
      <c r="J42" s="32"/>
    </row>
    <row r="43" spans="1:10" hidden="1" x14ac:dyDescent="0.25">
      <c r="A43" s="30"/>
      <c r="B43" s="50"/>
      <c r="C43" s="50">
        <v>0.18</v>
      </c>
      <c r="D43" s="50" t="e">
        <f>((NPV(C43,$H$15:$R$15)+(#REF!*(1+#REF!)/(C43-#REF!))/(1+C43)^(2040-2020))/$D$50)/$C$52-1</f>
        <v>#REF!</v>
      </c>
      <c r="E43" s="31"/>
      <c r="F43" s="31"/>
      <c r="G43" s="31"/>
      <c r="H43" s="31"/>
      <c r="I43" s="31"/>
      <c r="J43" s="32"/>
    </row>
    <row r="44" spans="1:10" hidden="1" x14ac:dyDescent="0.25">
      <c r="A44" s="30"/>
      <c r="B44" s="50"/>
      <c r="C44" s="50">
        <v>0.2</v>
      </c>
      <c r="D44" s="50" t="e">
        <f>((NPV(C44,$H$15:$R$15)+(#REF!*(1+#REF!)/(C44-#REF!))/(1+C44)^(2040-2020))/$D$50)/$C$52-1</f>
        <v>#REF!</v>
      </c>
      <c r="E44" s="31"/>
      <c r="F44" s="31"/>
      <c r="G44" s="31"/>
      <c r="H44" s="31"/>
      <c r="I44" s="31"/>
      <c r="J44" s="32"/>
    </row>
    <row r="45" spans="1:10" x14ac:dyDescent="0.25">
      <c r="A45" s="30"/>
      <c r="B45" s="31"/>
      <c r="C45" s="31"/>
      <c r="D45" s="31"/>
      <c r="E45" s="31"/>
      <c r="F45" s="31"/>
      <c r="G45" s="31"/>
      <c r="H45" s="31"/>
      <c r="I45" s="31"/>
      <c r="J45" s="32"/>
    </row>
    <row r="46" spans="1:10" ht="16.5" thickBot="1" x14ac:dyDescent="0.3">
      <c r="A46" s="34"/>
      <c r="B46" s="35" t="s">
        <v>30</v>
      </c>
      <c r="C46" s="35"/>
      <c r="D46" s="51">
        <f>D30+D34</f>
        <v>0.115</v>
      </c>
      <c r="E46" s="35"/>
      <c r="F46" s="35"/>
      <c r="G46" s="35"/>
      <c r="H46" s="35"/>
      <c r="I46" s="35"/>
      <c r="J46" s="36"/>
    </row>
    <row r="48" spans="1:10" x14ac:dyDescent="0.25">
      <c r="A48" s="21"/>
      <c r="B48" s="22"/>
      <c r="C48" s="23">
        <v>44491</v>
      </c>
      <c r="D48" s="24" t="s">
        <v>3</v>
      </c>
      <c r="E48" s="25"/>
      <c r="F48" s="84" t="s">
        <v>31</v>
      </c>
      <c r="G48" s="85" t="s">
        <v>32</v>
      </c>
      <c r="H48" s="26"/>
      <c r="I48" s="26"/>
    </row>
    <row r="49" spans="1:7" x14ac:dyDescent="0.25">
      <c r="A49" s="52" t="s">
        <v>0</v>
      </c>
      <c r="B49" s="53" t="s">
        <v>5</v>
      </c>
      <c r="C49" s="54">
        <f>C50*F50+C51*G50</f>
        <v>122530.87513209999</v>
      </c>
      <c r="D49" s="55">
        <f>SUM(H19:R19)</f>
        <v>188205.30005029152</v>
      </c>
      <c r="E49" s="53" t="s">
        <v>39</v>
      </c>
      <c r="F49" s="1" t="s">
        <v>33</v>
      </c>
      <c r="G49" s="1" t="s">
        <v>33</v>
      </c>
    </row>
    <row r="50" spans="1:7" x14ac:dyDescent="0.25">
      <c r="A50" s="52"/>
      <c r="B50" s="53" t="s">
        <v>35</v>
      </c>
      <c r="C50" s="54">
        <v>206.205445</v>
      </c>
      <c r="D50" s="54">
        <f>C50+C51</f>
        <v>501.29526299999998</v>
      </c>
      <c r="E50" s="53"/>
      <c r="F50" s="86">
        <v>196.1</v>
      </c>
      <c r="G50" s="86">
        <v>278.2</v>
      </c>
    </row>
    <row r="51" spans="1:7" x14ac:dyDescent="0.25">
      <c r="A51" s="52"/>
      <c r="B51" s="53" t="s">
        <v>36</v>
      </c>
      <c r="C51" s="54">
        <v>295.08981799999998</v>
      </c>
      <c r="D51" s="54"/>
      <c r="E51" s="53"/>
      <c r="F51" s="86"/>
      <c r="G51" s="86"/>
    </row>
    <row r="52" spans="1:7" x14ac:dyDescent="0.25">
      <c r="A52" s="52"/>
      <c r="B52" s="53" t="s">
        <v>37</v>
      </c>
      <c r="C52" s="67">
        <f>(F50*C50+C51*G50)/(C50+C51)</f>
        <v>244.42855174576025</v>
      </c>
      <c r="D52" s="56">
        <f>D49/(D50)</f>
        <v>375.4380181531688</v>
      </c>
      <c r="E52" s="53" t="s">
        <v>39</v>
      </c>
      <c r="F52" s="86" t="s">
        <v>34</v>
      </c>
      <c r="G52" s="86" t="s">
        <v>34</v>
      </c>
    </row>
    <row r="53" spans="1:7" x14ac:dyDescent="0.25">
      <c r="A53" s="52"/>
      <c r="B53" s="53" t="s">
        <v>2</v>
      </c>
      <c r="C53" s="53"/>
      <c r="D53" s="68">
        <f>IF(C52/D52-1&gt;0,0,C52/D52-1)</f>
        <v>-0.34895098544324876</v>
      </c>
      <c r="E53" s="53"/>
      <c r="F53" s="86"/>
      <c r="G53" s="86"/>
    </row>
    <row r="54" spans="1:7" x14ac:dyDescent="0.25">
      <c r="A54" s="52"/>
      <c r="B54" s="53" t="s">
        <v>15</v>
      </c>
      <c r="C54" s="53"/>
      <c r="D54" s="69">
        <f>IF(C52/D52-1&lt;0,0,C52/D52-1)</f>
        <v>0</v>
      </c>
      <c r="E54" s="53"/>
    </row>
    <row r="55" spans="1:7" x14ac:dyDescent="0.25">
      <c r="A55" s="53"/>
      <c r="B55" s="53"/>
      <c r="C55" s="53"/>
      <c r="D55" s="57"/>
      <c r="E55" s="57"/>
    </row>
    <row r="56" spans="1:7" x14ac:dyDescent="0.25">
      <c r="A56" s="57" t="s">
        <v>26</v>
      </c>
      <c r="B56" s="53"/>
      <c r="C56" s="59">
        <f>D46</f>
        <v>0.115</v>
      </c>
      <c r="D56" s="58"/>
      <c r="E56" s="53"/>
    </row>
    <row r="57" spans="1:7" ht="16.5" thickBot="1" x14ac:dyDescent="0.3">
      <c r="A57" s="27"/>
      <c r="C57" s="78"/>
      <c r="D57" s="79"/>
    </row>
    <row r="58" spans="1:7" x14ac:dyDescent="0.25">
      <c r="A58" s="70" t="s">
        <v>25</v>
      </c>
      <c r="B58" s="28"/>
      <c r="C58" s="81">
        <v>10</v>
      </c>
      <c r="D58" s="28"/>
      <c r="E58" s="29"/>
      <c r="G58" s="1" t="s">
        <v>42</v>
      </c>
    </row>
    <row r="59" spans="1:7" x14ac:dyDescent="0.25">
      <c r="A59" s="30"/>
      <c r="B59" s="31"/>
      <c r="C59" s="82"/>
      <c r="D59" s="31"/>
      <c r="E59" s="32"/>
    </row>
    <row r="60" spans="1:7" x14ac:dyDescent="0.25">
      <c r="A60" s="30" t="s">
        <v>18</v>
      </c>
      <c r="B60" s="31"/>
      <c r="C60" s="82"/>
      <c r="D60" s="31"/>
      <c r="E60" s="71">
        <f>R15*C58</f>
        <v>261202.68059270107</v>
      </c>
      <c r="G60" s="1" t="s">
        <v>43</v>
      </c>
    </row>
    <row r="61" spans="1:7" x14ac:dyDescent="0.25">
      <c r="A61" s="30"/>
      <c r="B61" s="31"/>
      <c r="C61" s="82"/>
      <c r="D61" s="31"/>
      <c r="E61" s="32"/>
      <c r="G61" s="1" t="s">
        <v>44</v>
      </c>
    </row>
    <row r="62" spans="1:7" x14ac:dyDescent="0.25">
      <c r="A62" s="30" t="s">
        <v>19</v>
      </c>
      <c r="B62" s="31"/>
      <c r="C62" s="83">
        <v>0.35</v>
      </c>
      <c r="D62" s="31"/>
      <c r="E62" s="32"/>
    </row>
    <row r="63" spans="1:7" x14ac:dyDescent="0.25">
      <c r="A63" s="30"/>
      <c r="B63" s="31"/>
      <c r="C63" s="31"/>
      <c r="D63" s="31"/>
      <c r="E63" s="32"/>
      <c r="G63" s="1" t="s">
        <v>45</v>
      </c>
    </row>
    <row r="64" spans="1:7" x14ac:dyDescent="0.25">
      <c r="A64" s="30" t="s">
        <v>20</v>
      </c>
      <c r="B64" s="31"/>
      <c r="C64" s="31"/>
      <c r="D64" s="31"/>
      <c r="E64" s="71">
        <f>SUM(H15:R15)*C62</f>
        <v>68373.471687543599</v>
      </c>
      <c r="G64" s="1" t="s">
        <v>46</v>
      </c>
    </row>
    <row r="65" spans="1:7" x14ac:dyDescent="0.25">
      <c r="A65" s="30"/>
      <c r="B65" s="31"/>
      <c r="C65" s="31"/>
      <c r="D65" s="31"/>
      <c r="E65" s="72"/>
    </row>
    <row r="66" spans="1:7" x14ac:dyDescent="0.25">
      <c r="A66" s="73" t="s">
        <v>21</v>
      </c>
      <c r="B66" s="31"/>
      <c r="C66" s="31"/>
      <c r="D66" s="31"/>
      <c r="E66" s="74">
        <f>(E64*0.25)*-1</f>
        <v>-17093.3679218859</v>
      </c>
      <c r="G66" s="1" t="s">
        <v>47</v>
      </c>
    </row>
    <row r="67" spans="1:7" x14ac:dyDescent="0.25">
      <c r="A67" s="30"/>
      <c r="B67" s="31"/>
      <c r="C67" s="50"/>
      <c r="D67" s="50"/>
      <c r="E67" s="75"/>
      <c r="G67" s="1" t="s">
        <v>48</v>
      </c>
    </row>
    <row r="68" spans="1:7" x14ac:dyDescent="0.25">
      <c r="A68" s="30" t="s">
        <v>22</v>
      </c>
      <c r="B68" s="31"/>
      <c r="C68" s="31"/>
      <c r="D68" s="31"/>
      <c r="E68" s="71">
        <f>SUM(E60:E66)</f>
        <v>312482.78435835877</v>
      </c>
    </row>
    <row r="69" spans="1:7" x14ac:dyDescent="0.25">
      <c r="A69" s="30"/>
      <c r="B69" s="31"/>
      <c r="C69" s="31"/>
      <c r="D69" s="31"/>
      <c r="E69" s="71"/>
      <c r="G69" s="1" t="s">
        <v>49</v>
      </c>
    </row>
    <row r="70" spans="1:7" x14ac:dyDescent="0.25">
      <c r="A70" s="30" t="s">
        <v>23</v>
      </c>
      <c r="B70" s="31"/>
      <c r="C70" s="31"/>
      <c r="D70" s="31"/>
      <c r="E70" s="75">
        <f>E68/C49-1</f>
        <v>1.5502371057210884</v>
      </c>
    </row>
    <row r="71" spans="1:7" x14ac:dyDescent="0.25">
      <c r="A71" s="30"/>
      <c r="B71" s="31"/>
      <c r="C71" s="31"/>
      <c r="D71" s="31"/>
      <c r="E71" s="32"/>
    </row>
    <row r="72" spans="1:7" ht="16.5" thickBot="1" x14ac:dyDescent="0.3">
      <c r="A72" s="76" t="s">
        <v>24</v>
      </c>
      <c r="B72" s="77"/>
      <c r="C72" s="77"/>
      <c r="D72" s="77"/>
      <c r="E72" s="80">
        <f>(E68/C49)^(1/10)-1</f>
        <v>9.8140872181882832E-2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2021-10-22T18:26:15Z</dcterms:modified>
</cp:coreProperties>
</file>