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Readly\"/>
    </mc:Choice>
  </mc:AlternateContent>
  <bookViews>
    <workbookView xWindow="0" yWindow="0" windowWidth="12195" windowHeight="3180" activeTab="2"/>
  </bookViews>
  <sheets>
    <sheet name="Pessimistisch" sheetId="17" r:id="rId1"/>
    <sheet name="Optimistisch" sheetId="15" r:id="rId2"/>
    <sheet name="Tenbagger" sheetId="18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8" l="1"/>
  <c r="E72" i="18"/>
  <c r="C49" i="15"/>
  <c r="E72" i="15"/>
  <c r="C49" i="17"/>
  <c r="E72" i="17"/>
  <c r="J55" i="18"/>
  <c r="L14" i="17"/>
  <c r="H15" i="17"/>
  <c r="I15" i="17"/>
  <c r="J15" i="17"/>
  <c r="K15" i="17"/>
  <c r="L15" i="17"/>
  <c r="M11" i="18"/>
  <c r="N11" i="18"/>
  <c r="O11" i="18"/>
  <c r="P11" i="18"/>
  <c r="Q11" i="18"/>
  <c r="R11" i="18"/>
  <c r="R14" i="18"/>
  <c r="R15" i="18"/>
  <c r="E60" i="18"/>
  <c r="H15" i="18"/>
  <c r="I15" i="18"/>
  <c r="J15" i="18"/>
  <c r="K15" i="18"/>
  <c r="M14" i="18"/>
  <c r="M15" i="18"/>
  <c r="N14" i="18"/>
  <c r="N15" i="18"/>
  <c r="O14" i="18"/>
  <c r="O15" i="18"/>
  <c r="P14" i="18"/>
  <c r="P15" i="18"/>
  <c r="Q14" i="18"/>
  <c r="Q15" i="18"/>
  <c r="E64" i="18"/>
  <c r="E66" i="18"/>
  <c r="E68" i="18"/>
  <c r="E70" i="18"/>
  <c r="C58" i="18"/>
  <c r="D30" i="18"/>
  <c r="D46" i="18"/>
  <c r="C55" i="18"/>
  <c r="H19" i="18"/>
  <c r="I19" i="18"/>
  <c r="J19" i="18"/>
  <c r="K19" i="18"/>
  <c r="L19" i="18"/>
  <c r="M19" i="18"/>
  <c r="N19" i="18"/>
  <c r="O19" i="18"/>
  <c r="P19" i="18"/>
  <c r="Q19" i="18"/>
  <c r="R19" i="18"/>
  <c r="D49" i="18"/>
  <c r="D50" i="18"/>
  <c r="D51" i="18"/>
  <c r="D53" i="18"/>
  <c r="D52" i="18"/>
  <c r="D44" i="18"/>
  <c r="D43" i="18"/>
  <c r="D42" i="18"/>
  <c r="D41" i="18"/>
  <c r="D40" i="18"/>
  <c r="K14" i="18"/>
  <c r="K16" i="18"/>
  <c r="J14" i="18"/>
  <c r="J16" i="18"/>
  <c r="I14" i="18"/>
  <c r="I16" i="18"/>
  <c r="H14" i="18"/>
  <c r="H16" i="18"/>
  <c r="G15" i="18"/>
  <c r="F15" i="18"/>
  <c r="E15" i="18"/>
  <c r="G14" i="18"/>
  <c r="F14" i="18"/>
  <c r="E14" i="18"/>
  <c r="L13" i="18"/>
  <c r="L12" i="18"/>
  <c r="K12" i="18"/>
  <c r="J12" i="18"/>
  <c r="I12" i="18"/>
  <c r="H12" i="18"/>
  <c r="G12" i="18"/>
  <c r="F12" i="18"/>
  <c r="M11" i="17"/>
  <c r="N11" i="17"/>
  <c r="O11" i="17"/>
  <c r="P11" i="17"/>
  <c r="Q11" i="17"/>
  <c r="R11" i="17"/>
  <c r="R14" i="17"/>
  <c r="R15" i="17"/>
  <c r="E60" i="17"/>
  <c r="M14" i="17"/>
  <c r="M15" i="17"/>
  <c r="N14" i="17"/>
  <c r="N15" i="17"/>
  <c r="O14" i="17"/>
  <c r="O15" i="17"/>
  <c r="P14" i="17"/>
  <c r="P15" i="17"/>
  <c r="Q14" i="17"/>
  <c r="Q15" i="17"/>
  <c r="E64" i="17"/>
  <c r="E66" i="17"/>
  <c r="E68" i="17"/>
  <c r="E70" i="17"/>
  <c r="C58" i="17"/>
  <c r="D30" i="17"/>
  <c r="D46" i="17"/>
  <c r="C55" i="17"/>
  <c r="H19" i="17"/>
  <c r="I19" i="17"/>
  <c r="J19" i="17"/>
  <c r="K19" i="17"/>
  <c r="L19" i="17"/>
  <c r="M19" i="17"/>
  <c r="N19" i="17"/>
  <c r="O19" i="17"/>
  <c r="P19" i="17"/>
  <c r="Q19" i="17"/>
  <c r="R19" i="17"/>
  <c r="D49" i="17"/>
  <c r="D50" i="17"/>
  <c r="D51" i="17"/>
  <c r="D53" i="17"/>
  <c r="D52" i="17"/>
  <c r="D44" i="17"/>
  <c r="D43" i="17"/>
  <c r="D42" i="17"/>
  <c r="D41" i="17"/>
  <c r="D40" i="17"/>
  <c r="K14" i="17"/>
  <c r="K16" i="17"/>
  <c r="J14" i="17"/>
  <c r="J16" i="17"/>
  <c r="I14" i="17"/>
  <c r="I16" i="17"/>
  <c r="H14" i="17"/>
  <c r="H16" i="17"/>
  <c r="G15" i="17"/>
  <c r="F15" i="17"/>
  <c r="E15" i="17"/>
  <c r="G14" i="17"/>
  <c r="F14" i="17"/>
  <c r="E14" i="17"/>
  <c r="L12" i="17"/>
  <c r="K12" i="17"/>
  <c r="J12" i="17"/>
  <c r="I12" i="17"/>
  <c r="H12" i="17"/>
  <c r="G12" i="17"/>
  <c r="F12" i="17"/>
  <c r="R11" i="15"/>
  <c r="R14" i="15"/>
  <c r="R15" i="15"/>
  <c r="E60" i="15"/>
  <c r="D50" i="15"/>
  <c r="C58" i="15"/>
  <c r="L13" i="15"/>
  <c r="L12" i="15"/>
  <c r="K15" i="15"/>
  <c r="K12" i="15"/>
  <c r="J15" i="15"/>
  <c r="I15" i="15"/>
  <c r="H15" i="15"/>
  <c r="E15" i="15"/>
  <c r="F15" i="15"/>
  <c r="G15" i="15"/>
  <c r="K14" i="15"/>
  <c r="G14" i="15"/>
  <c r="D30" i="15"/>
  <c r="D46" i="15"/>
  <c r="C55" i="15"/>
  <c r="H19" i="15"/>
  <c r="I19" i="15"/>
  <c r="J19" i="15"/>
  <c r="J14" i="15"/>
  <c r="J16" i="15"/>
  <c r="I14" i="15"/>
  <c r="I16" i="15"/>
  <c r="H14" i="15"/>
  <c r="H16" i="15"/>
  <c r="F14" i="15"/>
  <c r="E14" i="15"/>
  <c r="J12" i="15"/>
  <c r="I12" i="15"/>
  <c r="H12" i="15"/>
  <c r="G12" i="15"/>
  <c r="F12" i="15"/>
  <c r="M11" i="15"/>
  <c r="M14" i="15"/>
  <c r="M15" i="15"/>
  <c r="N11" i="15"/>
  <c r="N14" i="15"/>
  <c r="N15" i="15"/>
  <c r="O11" i="15"/>
  <c r="O14" i="15"/>
  <c r="O15" i="15"/>
  <c r="P11" i="15"/>
  <c r="P14" i="15"/>
  <c r="P15" i="15"/>
  <c r="Q11" i="15"/>
  <c r="Q14" i="15"/>
  <c r="Q15" i="15"/>
  <c r="E64" i="15"/>
  <c r="E66" i="15"/>
  <c r="E68" i="15"/>
  <c r="E70" i="15"/>
  <c r="L19" i="15"/>
  <c r="M19" i="15"/>
  <c r="N19" i="15"/>
  <c r="O19" i="15"/>
  <c r="P19" i="15"/>
  <c r="Q19" i="15"/>
  <c r="R19" i="15"/>
  <c r="K19" i="15"/>
  <c r="D49" i="15"/>
  <c r="D51" i="15"/>
  <c r="D53" i="15"/>
  <c r="D52" i="15"/>
  <c r="D44" i="15"/>
  <c r="D43" i="15"/>
  <c r="D42" i="15"/>
  <c r="D41" i="15"/>
  <c r="D40" i="15"/>
  <c r="K16" i="15"/>
</calcChain>
</file>

<file path=xl/sharedStrings.xml><?xml version="1.0" encoding="utf-8"?>
<sst xmlns="http://schemas.openxmlformats.org/spreadsheetml/2006/main" count="132" uniqueCount="43">
  <si>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</si>
  <si>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</si>
  <si>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</si>
  <si>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</si>
  <si>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</si>
  <si>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</si>
  <si>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</si>
  <si>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</si>
  <si>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</si>
  <si>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</si>
  <si>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</si>
  <si>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</si>
  <si>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</si>
  <si>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</si>
  <si>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</si>
  <si>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</si>
  <si>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2031ff.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</si>
  <si>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</si>
  <si>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</si>
  <si>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</si>
  <si>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</si>
  <si>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</si>
  <si>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</si>
  <si>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</si>
  <si>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</si>
  <si>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</si>
  <si>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</si>
  <si>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</si>
  <si>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</si>
  <si>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(ab 2025)</t>
  </si>
  <si>
    <t>EK-Zins</t>
  </si>
  <si>
    <t xml:space="preserve">Optimistische Annahmen für Ping An </t>
  </si>
  <si>
    <t>25 % Abschlag vom EBIT für Zins und Steuern</t>
  </si>
  <si>
    <t>SEK</t>
  </si>
  <si>
    <t>OnlineDienstleister</t>
  </si>
  <si>
    <t xml:space="preserve">Sicherheitszuschlag, erst in ferner Zukunft profitabel </t>
  </si>
  <si>
    <t>Zinserhöhungszuschlag</t>
  </si>
  <si>
    <t>Hohe Cashbestände (werden allerdings auch benötigt)</t>
  </si>
  <si>
    <t xml:space="preserve">Umsatzmultiple </t>
  </si>
  <si>
    <t xml:space="preserve">10 % mehr Aktien recht realistisch </t>
  </si>
  <si>
    <t>Alle Angaben in Mio. SEK</t>
  </si>
  <si>
    <t>Gewinn (25% Zinsen/Steuern/sonstiges)</t>
  </si>
  <si>
    <t>Kumulierte Rendite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</si>
</sst>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6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6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</cellXfs>
  <cellStyles count="3">
    <cellStyle name="Prozent" xfId="1" builtinId="5"/>
    <cellStyle name="Prozent 2" xfId="2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CC99FF"/>
      <color rgb="FFCCCCFF"/>
      <color rgb="FF9966FF"/>
      <color rgb="FF9900CC"/>
      <color rgb="FFFFEB7D"/>
      <color rgb="FFFFD802"/>
      <color rgb="FFFFFAE0"/>
      <color rgb="FFCBD5E0"/>
      <color rgb="FFFF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201195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614737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opLeftCell="A34" zoomScale="90" zoomScaleNormal="90" workbookViewId="0">
      <selection activeCell="D51" sqref="D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12</v>
      </c>
    </row>
    <row r="4" spans="1:28" x14ac:dyDescent="0.25">
      <c r="B4" s="29" t="s">
        <v>31</v>
      </c>
      <c r="L4" s="33"/>
      <c r="M4" s="33"/>
      <c r="N4" s="33"/>
      <c r="O4" s="33"/>
      <c r="P4" s="33"/>
      <c r="Q4" s="33"/>
      <c r="R4" s="33"/>
      <c r="S4" s="33"/>
    </row>
    <row r="5" spans="1:28" x14ac:dyDescent="0.25">
      <c r="L5" s="33"/>
      <c r="M5" s="33"/>
      <c r="N5" s="33"/>
      <c r="O5" s="33"/>
      <c r="P5" s="33"/>
      <c r="Q5" s="33"/>
      <c r="R5" s="33"/>
      <c r="S5" s="33"/>
    </row>
    <row r="6" spans="1:28" x14ac:dyDescent="0.25">
      <c r="B6" s="1" t="s">
        <v>40</v>
      </c>
      <c r="L6" s="33"/>
      <c r="M6" s="33"/>
      <c r="N6" s="33"/>
      <c r="O6" s="33"/>
      <c r="P6" s="33"/>
      <c r="Q6" s="33"/>
      <c r="R6" s="33"/>
      <c r="S6" s="33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16</v>
      </c>
    </row>
    <row r="11" spans="1:28" x14ac:dyDescent="0.25">
      <c r="A11" s="5"/>
      <c r="B11" s="4" t="s">
        <v>4</v>
      </c>
      <c r="C11" s="12"/>
      <c r="D11" s="12"/>
      <c r="E11" s="12">
        <v>194.8</v>
      </c>
      <c r="F11" s="12">
        <v>263.36</v>
      </c>
      <c r="G11" s="12">
        <v>349.83</v>
      </c>
      <c r="H11" s="16">
        <v>440</v>
      </c>
      <c r="I11" s="16">
        <v>530</v>
      </c>
      <c r="J11" s="16">
        <v>660</v>
      </c>
      <c r="K11" s="16">
        <v>830</v>
      </c>
      <c r="L11" s="16">
        <v>970</v>
      </c>
      <c r="M11" s="16">
        <f>L11*(1+M12)</f>
        <v>1115.5</v>
      </c>
      <c r="N11" s="16">
        <f t="shared" ref="N11:R11" si="0">M11*(1+N12)</f>
        <v>1282.8249999999998</v>
      </c>
      <c r="O11" s="16">
        <f t="shared" si="0"/>
        <v>1475.2487499999997</v>
      </c>
      <c r="P11" s="16">
        <f t="shared" si="0"/>
        <v>1622.7736249999998</v>
      </c>
      <c r="Q11" s="16">
        <f t="shared" si="0"/>
        <v>1785.0509875</v>
      </c>
      <c r="R11" s="16">
        <f t="shared" si="0"/>
        <v>1892.1540467500001</v>
      </c>
    </row>
    <row r="12" spans="1:28" x14ac:dyDescent="0.25">
      <c r="A12" s="5"/>
      <c r="B12" s="4" t="s">
        <v>1</v>
      </c>
      <c r="C12" s="13"/>
      <c r="D12" s="13"/>
      <c r="E12" s="13"/>
      <c r="F12" s="13">
        <f t="shared" ref="F12" si="1">F11/E11-1</f>
        <v>0.35195071868583172</v>
      </c>
      <c r="G12" s="13">
        <f>G11/F11-1</f>
        <v>0.32833383961117857</v>
      </c>
      <c r="H12" s="67">
        <f>H11/G11-1</f>
        <v>0.25775376611497025</v>
      </c>
      <c r="I12" s="67">
        <f t="shared" ref="I12:L12" si="2">I11/H11-1</f>
        <v>0.20454545454545459</v>
      </c>
      <c r="J12" s="67">
        <f t="shared" si="2"/>
        <v>0.24528301886792447</v>
      </c>
      <c r="K12" s="67">
        <f t="shared" si="2"/>
        <v>0.25757575757575757</v>
      </c>
      <c r="L12" s="67">
        <f t="shared" si="2"/>
        <v>0.16867469879518082</v>
      </c>
      <c r="M12" s="17">
        <v>0.15</v>
      </c>
      <c r="N12" s="17">
        <v>0.15</v>
      </c>
      <c r="O12" s="17">
        <v>0.15</v>
      </c>
      <c r="P12" s="17">
        <v>0.1</v>
      </c>
      <c r="Q12" s="17">
        <v>0.1</v>
      </c>
      <c r="R12" s="17">
        <v>0.06</v>
      </c>
    </row>
    <row r="13" spans="1:28" ht="15.95" customHeight="1" x14ac:dyDescent="0.25">
      <c r="A13" s="5"/>
      <c r="B13" s="4" t="s">
        <v>18</v>
      </c>
      <c r="C13" s="13"/>
      <c r="D13" s="13"/>
      <c r="E13" s="13">
        <v>-0.53800000000000003</v>
      </c>
      <c r="F13" s="13">
        <v>-0.52110000000000001</v>
      </c>
      <c r="G13" s="13">
        <v>-0.4783</v>
      </c>
      <c r="H13" s="67">
        <v>-0.314</v>
      </c>
      <c r="I13" s="67">
        <v>-0.35</v>
      </c>
      <c r="J13" s="67">
        <v>-0.3</v>
      </c>
      <c r="K13" s="67">
        <v>-0.15</v>
      </c>
      <c r="L13" s="67">
        <v>-0.1</v>
      </c>
      <c r="M13" s="67">
        <v>-0.03</v>
      </c>
      <c r="N13" s="67">
        <v>0.04</v>
      </c>
      <c r="O13" s="67">
        <v>7.0000000000000007E-2</v>
      </c>
      <c r="P13" s="67">
        <v>0.08</v>
      </c>
      <c r="Q13" s="67">
        <v>0.1</v>
      </c>
      <c r="R13" s="67">
        <v>0.1</v>
      </c>
    </row>
    <row r="14" spans="1:28" ht="17.100000000000001" customHeight="1" x14ac:dyDescent="0.25">
      <c r="A14" s="5"/>
      <c r="B14" s="4" t="s">
        <v>19</v>
      </c>
      <c r="C14" s="12"/>
      <c r="D14" s="12"/>
      <c r="E14" s="12">
        <f t="shared" ref="E14:F14" si="3">E13*E11</f>
        <v>-104.80240000000001</v>
      </c>
      <c r="F14" s="12">
        <f t="shared" si="3"/>
        <v>-137.236896</v>
      </c>
      <c r="G14" s="12">
        <f>G13*G11</f>
        <v>-167.323689</v>
      </c>
      <c r="H14" s="16">
        <f>H11*H13</f>
        <v>-138.16</v>
      </c>
      <c r="I14" s="16">
        <f>I11*I13</f>
        <v>-185.5</v>
      </c>
      <c r="J14" s="16">
        <f>J11*J13</f>
        <v>-198</v>
      </c>
      <c r="K14" s="16">
        <f>K11*K13</f>
        <v>-124.5</v>
      </c>
      <c r="L14" s="16">
        <f t="shared" ref="L14:R14" si="4">L11*L13</f>
        <v>-97</v>
      </c>
      <c r="M14" s="16">
        <f t="shared" si="4"/>
        <v>-33.464999999999996</v>
      </c>
      <c r="N14" s="16">
        <f t="shared" si="4"/>
        <v>51.312999999999995</v>
      </c>
      <c r="O14" s="16">
        <f>O11*O13</f>
        <v>103.26741249999999</v>
      </c>
      <c r="P14" s="16">
        <f t="shared" si="4"/>
        <v>129.82189</v>
      </c>
      <c r="Q14" s="16">
        <f t="shared" si="4"/>
        <v>178.50509875</v>
      </c>
      <c r="R14" s="16">
        <f t="shared" si="4"/>
        <v>189.21540467500003</v>
      </c>
    </row>
    <row r="15" spans="1:28" ht="16.5" thickBot="1" x14ac:dyDescent="0.3">
      <c r="A15" s="15">
        <v>0.25</v>
      </c>
      <c r="B15" s="4" t="s">
        <v>41</v>
      </c>
      <c r="C15" s="14"/>
      <c r="D15" s="12"/>
      <c r="E15" s="12">
        <f>E11*-0.5543</f>
        <v>-107.97764000000001</v>
      </c>
      <c r="F15" s="12">
        <f>F11*-0.5565</f>
        <v>-146.55984000000001</v>
      </c>
      <c r="G15" s="12">
        <f>G11*-0.5643</f>
        <v>-197.40906899999999</v>
      </c>
      <c r="H15" s="16">
        <f t="shared" ref="H15:L15" si="5">H14*(1-$A$15)</f>
        <v>-103.62</v>
      </c>
      <c r="I15" s="16">
        <f t="shared" si="5"/>
        <v>-139.125</v>
      </c>
      <c r="J15" s="16">
        <f t="shared" si="5"/>
        <v>-148.5</v>
      </c>
      <c r="K15" s="16">
        <f t="shared" si="5"/>
        <v>-93.375</v>
      </c>
      <c r="L15" s="16">
        <f t="shared" si="5"/>
        <v>-72.75</v>
      </c>
      <c r="M15" s="16">
        <f t="shared" ref="M15:Q15" si="6">M14*(1-$A$15)</f>
        <v>-25.098749999999995</v>
      </c>
      <c r="N15" s="16">
        <f t="shared" si="6"/>
        <v>38.484749999999998</v>
      </c>
      <c r="O15" s="16">
        <f t="shared" si="6"/>
        <v>77.450559374999997</v>
      </c>
      <c r="P15" s="16">
        <f t="shared" si="6"/>
        <v>97.366417499999997</v>
      </c>
      <c r="Q15" s="16">
        <f t="shared" si="6"/>
        <v>133.8788240625</v>
      </c>
      <c r="R15" s="16">
        <f>R14*(1-$A$15)</f>
        <v>141.91155350625002</v>
      </c>
    </row>
    <row r="16" spans="1:28" ht="32.25" thickBot="1" x14ac:dyDescent="0.3">
      <c r="A16" s="18" t="s">
        <v>6</v>
      </c>
      <c r="B16" s="19"/>
      <c r="C16" s="20"/>
      <c r="D16" s="20"/>
      <c r="E16" s="21"/>
      <c r="F16" s="21"/>
      <c r="G16" s="21"/>
      <c r="H16" s="21">
        <f t="shared" ref="H16:K16" si="7">H15/H14</f>
        <v>0.75</v>
      </c>
      <c r="I16" s="21">
        <f t="shared" si="7"/>
        <v>0.75</v>
      </c>
      <c r="J16" s="21">
        <f t="shared" si="7"/>
        <v>0.75</v>
      </c>
      <c r="K16" s="21">
        <f t="shared" si="7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14</v>
      </c>
      <c r="G19" s="62"/>
      <c r="H19" s="63">
        <f>H15/(1+$C$55)</f>
        <v>-91.699115044247804</v>
      </c>
      <c r="I19" s="63">
        <f>I15/(1+$C$55)^2</f>
        <v>-108.95528232437938</v>
      </c>
      <c r="J19" s="63">
        <f>J15/(1+$C$55)^3</f>
        <v>-102.91794909823783</v>
      </c>
      <c r="K19" s="63">
        <f>K15/(1+$C$55)^4</f>
        <v>-57.268636197061809</v>
      </c>
      <c r="L19" s="63">
        <f>L15/(1+$C$55)^5</f>
        <v>-39.485785343959883</v>
      </c>
      <c r="M19" s="63">
        <f>M15/(1+$C$55)^6</f>
        <v>-12.055394640412532</v>
      </c>
      <c r="N19" s="63">
        <f>N15/(1+$C$55)^7</f>
        <v>16.358352609409337</v>
      </c>
      <c r="O19" s="63">
        <f>O15/(1+$C$55)^8</f>
        <v>29.133791704810879</v>
      </c>
      <c r="P19" s="63">
        <f>P15/(1+$C$55)^9</f>
        <v>32.41180366654055</v>
      </c>
      <c r="Q19" s="63">
        <f>Q15/(1+$C$55)^10</f>
        <v>39.439141629640062</v>
      </c>
      <c r="R19" s="64">
        <f>(R15/(C55-R12))/(1+C55)^10</f>
        <v>597.22128753454956</v>
      </c>
    </row>
    <row r="20" spans="1:18" x14ac:dyDescent="0.25">
      <c r="A20" s="2"/>
      <c r="C20" s="1" t="s">
        <v>32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28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7</v>
      </c>
      <c r="B25" s="44" t="s">
        <v>34</v>
      </c>
      <c r="C25" s="44"/>
      <c r="D25" s="46">
        <v>0.08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35</v>
      </c>
      <c r="C26" s="44"/>
      <c r="D26" s="46">
        <v>0.04</v>
      </c>
      <c r="E26" s="33"/>
      <c r="F26" s="44"/>
      <c r="G26" s="33"/>
      <c r="H26" s="33"/>
      <c r="I26" s="33"/>
      <c r="J26" s="34"/>
    </row>
    <row r="27" spans="1:18" x14ac:dyDescent="0.25">
      <c r="A27" s="43"/>
      <c r="B27" s="44" t="s">
        <v>36</v>
      </c>
      <c r="C27" s="44"/>
      <c r="D27" s="46">
        <v>0.01</v>
      </c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8</v>
      </c>
      <c r="C30" s="44"/>
      <c r="D30" s="48">
        <f>D25+D26+D27</f>
        <v>0.13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9</v>
      </c>
      <c r="B34" s="44" t="s">
        <v>37</v>
      </c>
      <c r="C34" s="50"/>
      <c r="D34" s="35">
        <v>0</v>
      </c>
      <c r="E34" s="33"/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10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30</v>
      </c>
      <c r="C46" s="37"/>
      <c r="D46" s="53">
        <f>D30+D34</f>
        <v>0.13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44505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5</v>
      </c>
      <c r="C49" s="56">
        <f>C50*C51</f>
        <v>1015.5600000000001</v>
      </c>
      <c r="D49" s="57">
        <f>SUM(H19:R19)</f>
        <v>302.18221449665111</v>
      </c>
      <c r="E49" s="55" t="s">
        <v>33</v>
      </c>
    </row>
    <row r="50" spans="1:6" x14ac:dyDescent="0.25">
      <c r="A50" s="54"/>
      <c r="B50" s="55" t="s">
        <v>13</v>
      </c>
      <c r="C50" s="56">
        <v>37.200000000000003</v>
      </c>
      <c r="D50" s="56">
        <f>C50*1.1</f>
        <v>40.920000000000009</v>
      </c>
      <c r="E50" s="55"/>
      <c r="F50" s="1" t="s">
        <v>39</v>
      </c>
    </row>
    <row r="51" spans="1:6" x14ac:dyDescent="0.25">
      <c r="A51" s="54"/>
      <c r="B51" s="55" t="s">
        <v>15</v>
      </c>
      <c r="C51" s="68">
        <v>27.3</v>
      </c>
      <c r="D51" s="68">
        <f>D49/(D50)</f>
        <v>7.3847070991361452</v>
      </c>
      <c r="E51" s="55" t="s">
        <v>33</v>
      </c>
    </row>
    <row r="52" spans="1:6" x14ac:dyDescent="0.25">
      <c r="A52" s="54"/>
      <c r="B52" s="55" t="s">
        <v>2</v>
      </c>
      <c r="C52" s="55"/>
      <c r="D52" s="69">
        <f>IF(C51/D51-1&gt;0,0,C51/D51-1)</f>
        <v>0</v>
      </c>
      <c r="E52" s="55"/>
    </row>
    <row r="53" spans="1:6" x14ac:dyDescent="0.25">
      <c r="A53" s="54"/>
      <c r="B53" s="55" t="s">
        <v>17</v>
      </c>
      <c r="C53" s="55"/>
      <c r="D53" s="70">
        <f>IF(C51/D51-1&lt;0,0,C51/D51-1)</f>
        <v>2.6968290865853737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28</v>
      </c>
      <c r="B55" s="55"/>
      <c r="C55" s="60">
        <f>D46</f>
        <v>0.13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27</v>
      </c>
      <c r="B57" s="30"/>
      <c r="C57" s="82">
        <v>13</v>
      </c>
      <c r="D57" s="30"/>
      <c r="E57" s="31"/>
    </row>
    <row r="58" spans="1:6" x14ac:dyDescent="0.25">
      <c r="A58" s="32" t="s">
        <v>38</v>
      </c>
      <c r="B58" s="33"/>
      <c r="C58" s="83">
        <f>E60/R11</f>
        <v>0.97500000000000009</v>
      </c>
      <c r="D58" s="33"/>
      <c r="E58" s="34"/>
    </row>
    <row r="59" spans="1:6" x14ac:dyDescent="0.25">
      <c r="A59" s="32"/>
      <c r="B59" s="33"/>
      <c r="C59" s="83"/>
      <c r="D59" s="33"/>
      <c r="E59" s="34"/>
    </row>
    <row r="60" spans="1:6" x14ac:dyDescent="0.25">
      <c r="A60" s="32" t="s">
        <v>20</v>
      </c>
      <c r="B60" s="33"/>
      <c r="C60" s="83"/>
      <c r="D60" s="33"/>
      <c r="E60" s="72">
        <f>R15*C57</f>
        <v>1844.8501955812503</v>
      </c>
    </row>
    <row r="61" spans="1:6" x14ac:dyDescent="0.25">
      <c r="A61" s="32"/>
      <c r="B61" s="33"/>
      <c r="C61" s="83"/>
      <c r="D61" s="33"/>
      <c r="E61" s="34"/>
    </row>
    <row r="62" spans="1:6" x14ac:dyDescent="0.25">
      <c r="A62" s="32" t="s">
        <v>21</v>
      </c>
      <c r="B62" s="33"/>
      <c r="C62" s="84">
        <v>0</v>
      </c>
      <c r="D62" s="33"/>
      <c r="E62" s="34"/>
    </row>
    <row r="63" spans="1:6" x14ac:dyDescent="0.25">
      <c r="A63" s="32"/>
      <c r="B63" s="33"/>
      <c r="C63" s="33"/>
      <c r="D63" s="33"/>
      <c r="E63" s="34"/>
    </row>
    <row r="64" spans="1:6" x14ac:dyDescent="0.25">
      <c r="A64" s="32" t="s">
        <v>22</v>
      </c>
      <c r="B64" s="33"/>
      <c r="C64" s="33"/>
      <c r="D64" s="33"/>
      <c r="E64" s="72">
        <f>SUM(H15:R15)*C62</f>
        <v>0</v>
      </c>
    </row>
    <row r="65" spans="1:5" x14ac:dyDescent="0.25">
      <c r="A65" s="32"/>
      <c r="B65" s="33"/>
      <c r="C65" s="33"/>
      <c r="D65" s="33"/>
      <c r="E65" s="73"/>
    </row>
    <row r="66" spans="1:5" x14ac:dyDescent="0.25">
      <c r="A66" s="74" t="s">
        <v>23</v>
      </c>
      <c r="B66" s="33"/>
      <c r="C66" s="33"/>
      <c r="D66" s="33"/>
      <c r="E66" s="75">
        <f>(E64*0.25)*-1</f>
        <v>0</v>
      </c>
    </row>
    <row r="67" spans="1:5" x14ac:dyDescent="0.25">
      <c r="A67" s="32"/>
      <c r="B67" s="33"/>
      <c r="C67" s="52"/>
      <c r="D67" s="52"/>
      <c r="E67" s="76"/>
    </row>
    <row r="68" spans="1:5" x14ac:dyDescent="0.25">
      <c r="A68" s="32" t="s">
        <v>24</v>
      </c>
      <c r="B68" s="33"/>
      <c r="C68" s="33"/>
      <c r="D68" s="33"/>
      <c r="E68" s="72">
        <f>SUM(E60:E66)</f>
        <v>1844.8501955812503</v>
      </c>
    </row>
    <row r="69" spans="1:5" x14ac:dyDescent="0.25">
      <c r="A69" s="32"/>
      <c r="B69" s="33"/>
      <c r="C69" s="33"/>
      <c r="D69" s="33"/>
      <c r="E69" s="72"/>
    </row>
    <row r="70" spans="1:5" x14ac:dyDescent="0.25">
      <c r="A70" s="32" t="s">
        <v>25</v>
      </c>
      <c r="B70" s="33"/>
      <c r="C70" s="33"/>
      <c r="D70" s="33"/>
      <c r="E70" s="76">
        <f>E68/C49-1</f>
        <v>0.81658414626536113</v>
      </c>
    </row>
    <row r="71" spans="1:5" x14ac:dyDescent="0.25">
      <c r="A71" s="32"/>
      <c r="B71" s="33"/>
      <c r="C71" s="33"/>
      <c r="D71" s="33"/>
      <c r="E71" s="34"/>
    </row>
    <row r="72" spans="1:5" ht="16.5" thickBot="1" x14ac:dyDescent="0.3">
      <c r="A72" s="77" t="s">
        <v>26</v>
      </c>
      <c r="B72" s="78"/>
      <c r="C72" s="78"/>
      <c r="D72" s="78"/>
      <c r="E72" s="81">
        <f>(E68/C49)^(1/10)-1</f>
        <v>6.1513573836465607E-2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L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opLeftCell="A34" zoomScale="90" zoomScaleNormal="90" workbookViewId="0">
      <selection activeCell="D51" sqref="D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12</v>
      </c>
    </row>
    <row r="4" spans="1:28" x14ac:dyDescent="0.25">
      <c r="B4" s="29" t="s">
        <v>31</v>
      </c>
      <c r="L4" s="33"/>
      <c r="M4" s="33"/>
      <c r="N4" s="33"/>
      <c r="O4" s="33"/>
      <c r="P4" s="33"/>
      <c r="Q4" s="33"/>
      <c r="R4" s="33"/>
      <c r="S4" s="33"/>
    </row>
    <row r="5" spans="1:28" x14ac:dyDescent="0.25">
      <c r="L5" s="33"/>
      <c r="M5" s="33"/>
      <c r="N5" s="33"/>
      <c r="O5" s="33"/>
      <c r="P5" s="33"/>
      <c r="Q5" s="33"/>
      <c r="R5" s="33"/>
      <c r="S5" s="33"/>
    </row>
    <row r="6" spans="1:28" x14ac:dyDescent="0.25">
      <c r="B6" s="1" t="s">
        <v>40</v>
      </c>
      <c r="L6" s="33"/>
      <c r="M6" s="33"/>
      <c r="N6" s="33"/>
      <c r="O6" s="33"/>
      <c r="P6" s="33"/>
      <c r="Q6" s="33"/>
      <c r="R6" s="33"/>
      <c r="S6" s="33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16</v>
      </c>
    </row>
    <row r="11" spans="1:28" x14ac:dyDescent="0.25">
      <c r="A11" s="5"/>
      <c r="B11" s="4" t="s">
        <v>4</v>
      </c>
      <c r="C11" s="12"/>
      <c r="D11" s="12"/>
      <c r="E11" s="12">
        <v>194.8</v>
      </c>
      <c r="F11" s="12">
        <v>263.36</v>
      </c>
      <c r="G11" s="12">
        <v>349.83</v>
      </c>
      <c r="H11" s="16">
        <v>457.51</v>
      </c>
      <c r="I11" s="16">
        <v>603.57000000000005</v>
      </c>
      <c r="J11" s="16">
        <v>778.34</v>
      </c>
      <c r="K11" s="16">
        <v>1024.3</v>
      </c>
      <c r="L11" s="16">
        <v>1338</v>
      </c>
      <c r="M11" s="16">
        <f>L11*(1+M12)</f>
        <v>1739.4</v>
      </c>
      <c r="N11" s="16">
        <f t="shared" ref="N11:R11" si="0">M11*(1+N12)</f>
        <v>2174.25</v>
      </c>
      <c r="O11" s="16">
        <f t="shared" si="0"/>
        <v>2717.8125</v>
      </c>
      <c r="P11" s="16">
        <f t="shared" si="0"/>
        <v>3261.375</v>
      </c>
      <c r="Q11" s="16">
        <f t="shared" si="0"/>
        <v>3913.6499999999996</v>
      </c>
      <c r="R11" s="16">
        <f t="shared" si="0"/>
        <v>4207.173749999999</v>
      </c>
    </row>
    <row r="12" spans="1:28" x14ac:dyDescent="0.25">
      <c r="A12" s="5"/>
      <c r="B12" s="4" t="s">
        <v>1</v>
      </c>
      <c r="C12" s="13"/>
      <c r="D12" s="13"/>
      <c r="E12" s="13"/>
      <c r="F12" s="13">
        <f t="shared" ref="F12" si="1">F11/E11-1</f>
        <v>0.35195071868583172</v>
      </c>
      <c r="G12" s="13">
        <f>G11/F11-1</f>
        <v>0.32833383961117857</v>
      </c>
      <c r="H12" s="67">
        <f>H11/G11-1</f>
        <v>0.30780664894377274</v>
      </c>
      <c r="I12" s="67">
        <f t="shared" ref="I12:L12" si="2">I11/H11-1</f>
        <v>0.31924985246224136</v>
      </c>
      <c r="J12" s="67">
        <f t="shared" si="2"/>
        <v>0.28956044866378372</v>
      </c>
      <c r="K12" s="67">
        <f t="shared" si="2"/>
        <v>0.31600585862219588</v>
      </c>
      <c r="L12" s="67">
        <f t="shared" si="2"/>
        <v>0.30625793224641229</v>
      </c>
      <c r="M12" s="17">
        <v>0.3</v>
      </c>
      <c r="N12" s="17">
        <v>0.25</v>
      </c>
      <c r="O12" s="17">
        <v>0.25</v>
      </c>
      <c r="P12" s="17">
        <v>0.2</v>
      </c>
      <c r="Q12" s="17">
        <v>0.2</v>
      </c>
      <c r="R12" s="17">
        <v>7.4999999999999997E-2</v>
      </c>
    </row>
    <row r="13" spans="1:28" ht="15.95" customHeight="1" x14ac:dyDescent="0.25">
      <c r="A13" s="5"/>
      <c r="B13" s="4" t="s">
        <v>18</v>
      </c>
      <c r="C13" s="13"/>
      <c r="D13" s="13"/>
      <c r="E13" s="13">
        <v>-0.53800000000000003</v>
      </c>
      <c r="F13" s="13">
        <v>-0.52110000000000001</v>
      </c>
      <c r="G13" s="13">
        <v>-0.4783</v>
      </c>
      <c r="H13" s="67">
        <v>-0.314</v>
      </c>
      <c r="I13" s="67">
        <v>-0.314</v>
      </c>
      <c r="J13" s="67">
        <v>-0.2046</v>
      </c>
      <c r="K13" s="67">
        <v>-6.25E-2</v>
      </c>
      <c r="L13" s="67">
        <f>L14/L11</f>
        <v>1.5695067264573991E-2</v>
      </c>
      <c r="M13" s="67">
        <v>0.04</v>
      </c>
      <c r="N13" s="67">
        <v>0.06</v>
      </c>
      <c r="O13" s="67">
        <v>0.08</v>
      </c>
      <c r="P13" s="67">
        <v>0.08</v>
      </c>
      <c r="Q13" s="67">
        <v>0.1</v>
      </c>
      <c r="R13" s="67">
        <v>0.12</v>
      </c>
    </row>
    <row r="14" spans="1:28" ht="17.100000000000001" customHeight="1" x14ac:dyDescent="0.25">
      <c r="A14" s="5"/>
      <c r="B14" s="4" t="s">
        <v>19</v>
      </c>
      <c r="C14" s="12"/>
      <c r="D14" s="12"/>
      <c r="E14" s="12">
        <f t="shared" ref="E14:F14" si="3">E13*E11</f>
        <v>-104.80240000000001</v>
      </c>
      <c r="F14" s="12">
        <f t="shared" si="3"/>
        <v>-137.236896</v>
      </c>
      <c r="G14" s="12">
        <f>G13*G11</f>
        <v>-167.323689</v>
      </c>
      <c r="H14" s="16">
        <f>H11*H13</f>
        <v>-143.65814</v>
      </c>
      <c r="I14" s="16">
        <f>I11*I13</f>
        <v>-189.52098000000001</v>
      </c>
      <c r="J14" s="16">
        <f>J11*J13</f>
        <v>-159.24836400000001</v>
      </c>
      <c r="K14" s="16">
        <f>K11*K13</f>
        <v>-64.018749999999997</v>
      </c>
      <c r="L14" s="16">
        <v>21</v>
      </c>
      <c r="M14" s="16">
        <f t="shared" ref="M14:R14" si="4">M11*M13</f>
        <v>69.576000000000008</v>
      </c>
      <c r="N14" s="16">
        <f t="shared" si="4"/>
        <v>130.45499999999998</v>
      </c>
      <c r="O14" s="16">
        <f>O11*O13</f>
        <v>217.42500000000001</v>
      </c>
      <c r="P14" s="16">
        <f t="shared" si="4"/>
        <v>260.91000000000003</v>
      </c>
      <c r="Q14" s="16">
        <f t="shared" si="4"/>
        <v>391.36500000000001</v>
      </c>
      <c r="R14" s="16">
        <f t="shared" si="4"/>
        <v>504.86084999999986</v>
      </c>
    </row>
    <row r="15" spans="1:28" ht="16.5" thickBot="1" x14ac:dyDescent="0.3">
      <c r="A15" s="15">
        <v>0.25</v>
      </c>
      <c r="B15" s="4" t="s">
        <v>41</v>
      </c>
      <c r="C15" s="14"/>
      <c r="D15" s="12"/>
      <c r="E15" s="12">
        <f>E11*-0.5543</f>
        <v>-107.97764000000001</v>
      </c>
      <c r="F15" s="12">
        <f>F11*-0.5565</f>
        <v>-146.55984000000001</v>
      </c>
      <c r="G15" s="12">
        <f>G11*-0.5643</f>
        <v>-197.40906899999999</v>
      </c>
      <c r="H15" s="16">
        <f>H11*-0.3272</f>
        <v>-149.697272</v>
      </c>
      <c r="I15" s="16">
        <f>I11*-0.3272</f>
        <v>-197.48810400000002</v>
      </c>
      <c r="J15" s="16">
        <f>J11*-0.2146</f>
        <v>-167.03176400000001</v>
      </c>
      <c r="K15" s="16">
        <f>K11*-0.0693</f>
        <v>-70.983989999999991</v>
      </c>
      <c r="L15" s="16">
        <v>13</v>
      </c>
      <c r="M15" s="16">
        <f t="shared" ref="M15:Q15" si="5">M14*(1-$A$15)</f>
        <v>52.182000000000002</v>
      </c>
      <c r="N15" s="16">
        <f t="shared" si="5"/>
        <v>97.841249999999988</v>
      </c>
      <c r="O15" s="16">
        <f t="shared" si="5"/>
        <v>163.06875000000002</v>
      </c>
      <c r="P15" s="16">
        <f t="shared" si="5"/>
        <v>195.6825</v>
      </c>
      <c r="Q15" s="16">
        <f t="shared" si="5"/>
        <v>293.52375000000001</v>
      </c>
      <c r="R15" s="16">
        <f>R14*(1-$A$15)</f>
        <v>378.64563749999991</v>
      </c>
    </row>
    <row r="16" spans="1:28" ht="32.25" thickBot="1" x14ac:dyDescent="0.3">
      <c r="A16" s="18" t="s">
        <v>6</v>
      </c>
      <c r="B16" s="19"/>
      <c r="C16" s="20"/>
      <c r="D16" s="20"/>
      <c r="E16" s="21"/>
      <c r="F16" s="21"/>
      <c r="G16" s="21"/>
      <c r="H16" s="21">
        <f t="shared" ref="H16:K16" si="6">H15/H14</f>
        <v>1.0420382165605095</v>
      </c>
      <c r="I16" s="21">
        <f t="shared" si="6"/>
        <v>1.0420382165605095</v>
      </c>
      <c r="J16" s="21">
        <f t="shared" si="6"/>
        <v>1.0488758553274682</v>
      </c>
      <c r="K16" s="21">
        <f t="shared" si="6"/>
        <v>1.1088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14</v>
      </c>
      <c r="G19" s="62"/>
      <c r="H19" s="63">
        <f>H15/(1+$C$55)</f>
        <v>-132.47546194690267</v>
      </c>
      <c r="I19" s="63">
        <f>I15/(1+$C$55)^2</f>
        <v>-154.66215365337933</v>
      </c>
      <c r="J19" s="63">
        <f>J15/(1+$C$55)^3</f>
        <v>-115.76139114572979</v>
      </c>
      <c r="K19" s="63">
        <f>K15/(1+$C$55)^4</f>
        <v>-43.535810432405604</v>
      </c>
      <c r="L19" s="63">
        <f>L15/(1+$C$55)^5</f>
        <v>7.0558791679928321</v>
      </c>
      <c r="M19" s="63">
        <f>M15/(1+$C$55)^6</f>
        <v>25.063981398516137</v>
      </c>
      <c r="N19" s="63">
        <f>N15/(1+$C$55)^7</f>
        <v>41.588464709927216</v>
      </c>
      <c r="O19" s="63">
        <f>O15/(1+$C$55)^8</f>
        <v>61.339918451220093</v>
      </c>
      <c r="P19" s="63">
        <f>P15/(1+$C$55)^9</f>
        <v>65.139736408375327</v>
      </c>
      <c r="Q19" s="63">
        <f>Q15/(1+$C$55)^10</f>
        <v>86.468676648285836</v>
      </c>
      <c r="R19" s="64">
        <f>(R15/(C55-R12))/(1+C55)^10</f>
        <v>2028.0835068416127</v>
      </c>
    </row>
    <row r="20" spans="1:18" x14ac:dyDescent="0.25">
      <c r="A20" s="2"/>
      <c r="C20" s="1" t="s">
        <v>32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29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28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7</v>
      </c>
      <c r="B25" s="44" t="s">
        <v>34</v>
      </c>
      <c r="C25" s="44"/>
      <c r="D25" s="46">
        <v>0.08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35</v>
      </c>
      <c r="C26" s="44"/>
      <c r="D26" s="46">
        <v>0.04</v>
      </c>
      <c r="E26" s="33"/>
      <c r="F26" s="44"/>
      <c r="G26" s="33"/>
      <c r="H26" s="33"/>
      <c r="I26" s="33"/>
      <c r="J26" s="34"/>
    </row>
    <row r="27" spans="1:18" x14ac:dyDescent="0.25">
      <c r="A27" s="43"/>
      <c r="B27" s="44" t="s">
        <v>36</v>
      </c>
      <c r="C27" s="44"/>
      <c r="D27" s="46">
        <v>0.01</v>
      </c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8</v>
      </c>
      <c r="C30" s="44"/>
      <c r="D30" s="48">
        <f>D25+D26+D27</f>
        <v>0.13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9</v>
      </c>
      <c r="B34" s="44" t="s">
        <v>37</v>
      </c>
      <c r="C34" s="50"/>
      <c r="D34" s="35">
        <v>0</v>
      </c>
      <c r="E34" s="33"/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10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30</v>
      </c>
      <c r="C46" s="37"/>
      <c r="D46" s="53">
        <f>D30+D34</f>
        <v>0.13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44505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5</v>
      </c>
      <c r="C49" s="56">
        <f>C50*C51</f>
        <v>1015.5600000000001</v>
      </c>
      <c r="D49" s="57">
        <f>SUM(H19:R19)</f>
        <v>1868.3053464475129</v>
      </c>
      <c r="E49" s="55" t="s">
        <v>33</v>
      </c>
    </row>
    <row r="50" spans="1:6" x14ac:dyDescent="0.25">
      <c r="A50" s="54"/>
      <c r="B50" s="55" t="s">
        <v>13</v>
      </c>
      <c r="C50" s="56">
        <v>37.200000000000003</v>
      </c>
      <c r="D50" s="56">
        <f>C50*1.1</f>
        <v>40.920000000000009</v>
      </c>
      <c r="E50" s="55"/>
      <c r="F50" s="1" t="s">
        <v>39</v>
      </c>
    </row>
    <row r="51" spans="1:6" x14ac:dyDescent="0.25">
      <c r="A51" s="54"/>
      <c r="B51" s="55" t="s">
        <v>15</v>
      </c>
      <c r="C51" s="68">
        <v>27.3</v>
      </c>
      <c r="D51" s="68">
        <f>D49/(D50)</f>
        <v>45.657510910252014</v>
      </c>
      <c r="E51" s="55" t="s">
        <v>33</v>
      </c>
    </row>
    <row r="52" spans="1:6" x14ac:dyDescent="0.25">
      <c r="A52" s="54"/>
      <c r="B52" s="55" t="s">
        <v>2</v>
      </c>
      <c r="C52" s="55"/>
      <c r="D52" s="69">
        <f>IF(C51/D51-1&gt;0,0,C51/D51-1)</f>
        <v>-0.40206990140870746</v>
      </c>
      <c r="E52" s="55"/>
    </row>
    <row r="53" spans="1:6" x14ac:dyDescent="0.25">
      <c r="A53" s="54"/>
      <c r="B53" s="55" t="s">
        <v>17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28</v>
      </c>
      <c r="B55" s="55"/>
      <c r="C55" s="60">
        <f>D46</f>
        <v>0.13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27</v>
      </c>
      <c r="B57" s="30"/>
      <c r="C57" s="82">
        <v>25</v>
      </c>
      <c r="D57" s="30"/>
      <c r="E57" s="31"/>
    </row>
    <row r="58" spans="1:6" x14ac:dyDescent="0.25">
      <c r="A58" s="32" t="s">
        <v>38</v>
      </c>
      <c r="B58" s="33"/>
      <c r="C58" s="83">
        <f>E60/R11</f>
        <v>2.25</v>
      </c>
      <c r="D58" s="33"/>
      <c r="E58" s="34"/>
    </row>
    <row r="59" spans="1:6" x14ac:dyDescent="0.25">
      <c r="A59" s="32"/>
      <c r="B59" s="33"/>
      <c r="C59" s="83"/>
      <c r="D59" s="33"/>
      <c r="E59" s="34"/>
    </row>
    <row r="60" spans="1:6" x14ac:dyDescent="0.25">
      <c r="A60" s="32" t="s">
        <v>20</v>
      </c>
      <c r="B60" s="33"/>
      <c r="C60" s="83"/>
      <c r="D60" s="33"/>
      <c r="E60" s="72">
        <f>R15*C57</f>
        <v>9466.1409374999985</v>
      </c>
    </row>
    <row r="61" spans="1:6" x14ac:dyDescent="0.25">
      <c r="A61" s="32"/>
      <c r="B61" s="33"/>
      <c r="C61" s="83"/>
      <c r="D61" s="33"/>
      <c r="E61" s="34"/>
    </row>
    <row r="62" spans="1:6" x14ac:dyDescent="0.25">
      <c r="A62" s="32" t="s">
        <v>21</v>
      </c>
      <c r="B62" s="33"/>
      <c r="C62" s="84">
        <v>0</v>
      </c>
      <c r="D62" s="33"/>
      <c r="E62" s="34"/>
    </row>
    <row r="63" spans="1:6" x14ac:dyDescent="0.25">
      <c r="A63" s="32"/>
      <c r="B63" s="33"/>
      <c r="C63" s="33"/>
      <c r="D63" s="33"/>
      <c r="E63" s="34"/>
    </row>
    <row r="64" spans="1:6" x14ac:dyDescent="0.25">
      <c r="A64" s="32" t="s">
        <v>22</v>
      </c>
      <c r="B64" s="33"/>
      <c r="C64" s="33"/>
      <c r="D64" s="33"/>
      <c r="E64" s="72">
        <f>SUM(H15:R15)*C62</f>
        <v>0</v>
      </c>
    </row>
    <row r="65" spans="1:5" x14ac:dyDescent="0.25">
      <c r="A65" s="32"/>
      <c r="B65" s="33"/>
      <c r="C65" s="33"/>
      <c r="D65" s="33"/>
      <c r="E65" s="73"/>
    </row>
    <row r="66" spans="1:5" x14ac:dyDescent="0.25">
      <c r="A66" s="74" t="s">
        <v>23</v>
      </c>
      <c r="B66" s="33"/>
      <c r="C66" s="33"/>
      <c r="D66" s="33"/>
      <c r="E66" s="75">
        <f>(E64*0.25)*-1</f>
        <v>0</v>
      </c>
    </row>
    <row r="67" spans="1:5" x14ac:dyDescent="0.25">
      <c r="A67" s="32"/>
      <c r="B67" s="33"/>
      <c r="C67" s="52"/>
      <c r="D67" s="52"/>
      <c r="E67" s="76"/>
    </row>
    <row r="68" spans="1:5" x14ac:dyDescent="0.25">
      <c r="A68" s="32" t="s">
        <v>24</v>
      </c>
      <c r="B68" s="33"/>
      <c r="C68" s="33"/>
      <c r="D68" s="33"/>
      <c r="E68" s="72">
        <f>SUM(E60:E66)</f>
        <v>9466.1409374999985</v>
      </c>
    </row>
    <row r="69" spans="1:5" x14ac:dyDescent="0.25">
      <c r="A69" s="32"/>
      <c r="B69" s="33"/>
      <c r="C69" s="33"/>
      <c r="D69" s="33"/>
      <c r="E69" s="72"/>
    </row>
    <row r="70" spans="1:5" x14ac:dyDescent="0.25">
      <c r="A70" s="32" t="s">
        <v>25</v>
      </c>
      <c r="B70" s="33"/>
      <c r="C70" s="33"/>
      <c r="D70" s="33"/>
      <c r="E70" s="76">
        <f>E68/C49-1</f>
        <v>8.321104550691242</v>
      </c>
    </row>
    <row r="71" spans="1:5" x14ac:dyDescent="0.25">
      <c r="A71" s="32"/>
      <c r="B71" s="33"/>
      <c r="C71" s="33"/>
      <c r="D71" s="33"/>
      <c r="E71" s="34"/>
    </row>
    <row r="72" spans="1:5" ht="16.5" thickBot="1" x14ac:dyDescent="0.3">
      <c r="A72" s="77" t="s">
        <v>26</v>
      </c>
      <c r="B72" s="78"/>
      <c r="C72" s="78"/>
      <c r="D72" s="78"/>
      <c r="E72" s="81">
        <f>(E68/C49)^(1/10)-1</f>
        <v>0.25010570728883996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abSelected="1" topLeftCell="A31" zoomScale="90" zoomScaleNormal="90" workbookViewId="0">
      <selection activeCell="D51" sqref="D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12</v>
      </c>
    </row>
    <row r="4" spans="1:28" x14ac:dyDescent="0.25">
      <c r="B4" s="29" t="s">
        <v>31</v>
      </c>
      <c r="L4" s="33"/>
      <c r="M4" s="33"/>
      <c r="N4" s="33"/>
      <c r="O4" s="33"/>
      <c r="P4" s="33"/>
      <c r="Q4" s="33"/>
      <c r="R4" s="33"/>
      <c r="S4" s="33"/>
    </row>
    <row r="5" spans="1:28" x14ac:dyDescent="0.25">
      <c r="L5" s="33"/>
      <c r="M5" s="33"/>
      <c r="N5" s="33"/>
      <c r="O5" s="33"/>
      <c r="P5" s="33"/>
      <c r="Q5" s="33"/>
      <c r="R5" s="33"/>
      <c r="S5" s="33"/>
    </row>
    <row r="6" spans="1:28" x14ac:dyDescent="0.25">
      <c r="B6" s="1" t="s">
        <v>40</v>
      </c>
      <c r="L6" s="33"/>
      <c r="M6" s="33"/>
      <c r="N6" s="33"/>
      <c r="O6" s="33"/>
      <c r="P6" s="33"/>
      <c r="Q6" s="33"/>
      <c r="R6" s="33"/>
      <c r="S6" s="33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16</v>
      </c>
    </row>
    <row r="11" spans="1:28" x14ac:dyDescent="0.25">
      <c r="A11" s="5"/>
      <c r="B11" s="4" t="s">
        <v>4</v>
      </c>
      <c r="C11" s="12"/>
      <c r="D11" s="12"/>
      <c r="E11" s="12">
        <v>194.8</v>
      </c>
      <c r="F11" s="12">
        <v>263.36</v>
      </c>
      <c r="G11" s="12">
        <v>349.83</v>
      </c>
      <c r="H11" s="16">
        <v>457.51</v>
      </c>
      <c r="I11" s="16">
        <v>603.57000000000005</v>
      </c>
      <c r="J11" s="16">
        <v>778.34</v>
      </c>
      <c r="K11" s="16">
        <v>1024.3</v>
      </c>
      <c r="L11" s="16">
        <v>1338</v>
      </c>
      <c r="M11" s="16">
        <f>L11*(1+M12)</f>
        <v>1739.4</v>
      </c>
      <c r="N11" s="16">
        <f t="shared" ref="N11:R11" si="0">M11*(1+N12)</f>
        <v>2348.19</v>
      </c>
      <c r="O11" s="16">
        <f t="shared" si="0"/>
        <v>3170.0565000000001</v>
      </c>
      <c r="P11" s="16">
        <f t="shared" si="0"/>
        <v>4121.0734500000008</v>
      </c>
      <c r="Q11" s="16">
        <f t="shared" si="0"/>
        <v>5151.3418125000007</v>
      </c>
      <c r="R11" s="16">
        <f t="shared" si="0"/>
        <v>5589.2058665625009</v>
      </c>
    </row>
    <row r="12" spans="1:28" x14ac:dyDescent="0.25">
      <c r="A12" s="5"/>
      <c r="B12" s="4" t="s">
        <v>1</v>
      </c>
      <c r="C12" s="13"/>
      <c r="D12" s="13"/>
      <c r="E12" s="13"/>
      <c r="F12" s="13">
        <f t="shared" ref="F12" si="1">F11/E11-1</f>
        <v>0.35195071868583172</v>
      </c>
      <c r="G12" s="13">
        <f>G11/F11-1</f>
        <v>0.32833383961117857</v>
      </c>
      <c r="H12" s="67">
        <f>H11/G11-1</f>
        <v>0.30780664894377274</v>
      </c>
      <c r="I12" s="67">
        <f t="shared" ref="I12:L12" si="2">I11/H11-1</f>
        <v>0.31924985246224136</v>
      </c>
      <c r="J12" s="67">
        <f t="shared" si="2"/>
        <v>0.28956044866378372</v>
      </c>
      <c r="K12" s="67">
        <f t="shared" si="2"/>
        <v>0.31600585862219588</v>
      </c>
      <c r="L12" s="67">
        <f t="shared" si="2"/>
        <v>0.30625793224641229</v>
      </c>
      <c r="M12" s="17">
        <v>0.3</v>
      </c>
      <c r="N12" s="17">
        <v>0.35</v>
      </c>
      <c r="O12" s="17">
        <v>0.35</v>
      </c>
      <c r="P12" s="17">
        <v>0.3</v>
      </c>
      <c r="Q12" s="17">
        <v>0.25</v>
      </c>
      <c r="R12" s="17">
        <v>8.5000000000000006E-2</v>
      </c>
    </row>
    <row r="13" spans="1:28" ht="15.95" customHeight="1" x14ac:dyDescent="0.25">
      <c r="A13" s="5"/>
      <c r="B13" s="4" t="s">
        <v>18</v>
      </c>
      <c r="C13" s="13"/>
      <c r="D13" s="13"/>
      <c r="E13" s="13">
        <v>-0.53800000000000003</v>
      </c>
      <c r="F13" s="13">
        <v>-0.52110000000000001</v>
      </c>
      <c r="G13" s="13">
        <v>-0.4783</v>
      </c>
      <c r="H13" s="67">
        <v>-0.314</v>
      </c>
      <c r="I13" s="67">
        <v>-0.314</v>
      </c>
      <c r="J13" s="67">
        <v>-0.2046</v>
      </c>
      <c r="K13" s="67">
        <v>-6.25E-2</v>
      </c>
      <c r="L13" s="67">
        <f>L14/L11</f>
        <v>1.5695067264573991E-2</v>
      </c>
      <c r="M13" s="67">
        <v>0.04</v>
      </c>
      <c r="N13" s="67">
        <v>0.08</v>
      </c>
      <c r="O13" s="67">
        <v>0.1</v>
      </c>
      <c r="P13" s="67">
        <v>0.12</v>
      </c>
      <c r="Q13" s="67">
        <v>0.14000000000000001</v>
      </c>
      <c r="R13" s="67">
        <v>0.14000000000000001</v>
      </c>
    </row>
    <row r="14" spans="1:28" ht="17.100000000000001" customHeight="1" x14ac:dyDescent="0.25">
      <c r="A14" s="5"/>
      <c r="B14" s="4" t="s">
        <v>19</v>
      </c>
      <c r="C14" s="12"/>
      <c r="D14" s="12"/>
      <c r="E14" s="12">
        <f t="shared" ref="E14:F14" si="3">E13*E11</f>
        <v>-104.80240000000001</v>
      </c>
      <c r="F14" s="12">
        <f t="shared" si="3"/>
        <v>-137.236896</v>
      </c>
      <c r="G14" s="12">
        <f>G13*G11</f>
        <v>-167.323689</v>
      </c>
      <c r="H14" s="16">
        <f>H11*H13</f>
        <v>-143.65814</v>
      </c>
      <c r="I14" s="16">
        <f>I11*I13</f>
        <v>-189.52098000000001</v>
      </c>
      <c r="J14" s="16">
        <f>J11*J13</f>
        <v>-159.24836400000001</v>
      </c>
      <c r="K14" s="16">
        <f>K11*K13</f>
        <v>-64.018749999999997</v>
      </c>
      <c r="L14" s="16">
        <v>21</v>
      </c>
      <c r="M14" s="16">
        <f t="shared" ref="M14:R14" si="4">M11*M13</f>
        <v>69.576000000000008</v>
      </c>
      <c r="N14" s="16">
        <f t="shared" si="4"/>
        <v>187.8552</v>
      </c>
      <c r="O14" s="16">
        <f>O11*O13</f>
        <v>317.00565000000006</v>
      </c>
      <c r="P14" s="16">
        <f t="shared" si="4"/>
        <v>494.52881400000007</v>
      </c>
      <c r="Q14" s="16">
        <f t="shared" si="4"/>
        <v>721.18785375000016</v>
      </c>
      <c r="R14" s="16">
        <f t="shared" si="4"/>
        <v>782.48882131875018</v>
      </c>
    </row>
    <row r="15" spans="1:28" ht="16.5" thickBot="1" x14ac:dyDescent="0.3">
      <c r="A15" s="15">
        <v>0.25</v>
      </c>
      <c r="B15" s="4" t="s">
        <v>41</v>
      </c>
      <c r="C15" s="14"/>
      <c r="D15" s="12"/>
      <c r="E15" s="12">
        <f>E11*-0.5543</f>
        <v>-107.97764000000001</v>
      </c>
      <c r="F15" s="12">
        <f>F11*-0.5565</f>
        <v>-146.55984000000001</v>
      </c>
      <c r="G15" s="12">
        <f>G11*-0.5643</f>
        <v>-197.40906899999999</v>
      </c>
      <c r="H15" s="16">
        <f>H11*-0.3272</f>
        <v>-149.697272</v>
      </c>
      <c r="I15" s="16">
        <f>I11*-0.3272</f>
        <v>-197.48810400000002</v>
      </c>
      <c r="J15" s="16">
        <f>J11*-0.2146</f>
        <v>-167.03176400000001</v>
      </c>
      <c r="K15" s="16">
        <f>K11*-0.0693</f>
        <v>-70.983989999999991</v>
      </c>
      <c r="L15" s="16">
        <v>13</v>
      </c>
      <c r="M15" s="16">
        <f t="shared" ref="M15:Q15" si="5">M14*(1-$A$15)</f>
        <v>52.182000000000002</v>
      </c>
      <c r="N15" s="16">
        <f t="shared" si="5"/>
        <v>140.8914</v>
      </c>
      <c r="O15" s="16">
        <f t="shared" si="5"/>
        <v>237.75423750000004</v>
      </c>
      <c r="P15" s="16">
        <f t="shared" si="5"/>
        <v>370.89661050000007</v>
      </c>
      <c r="Q15" s="16">
        <f t="shared" si="5"/>
        <v>540.89089031250012</v>
      </c>
      <c r="R15" s="16">
        <f>R14*(1-$A$15)</f>
        <v>586.86661598906267</v>
      </c>
    </row>
    <row r="16" spans="1:28" ht="32.25" thickBot="1" x14ac:dyDescent="0.3">
      <c r="A16" s="18" t="s">
        <v>6</v>
      </c>
      <c r="B16" s="19"/>
      <c r="C16" s="20"/>
      <c r="D16" s="20">
        <v>0.01</v>
      </c>
      <c r="E16" s="21"/>
      <c r="F16" s="21"/>
      <c r="G16" s="21"/>
      <c r="H16" s="21">
        <f t="shared" ref="H16:K16" si="6">H15/H14</f>
        <v>1.0420382165605095</v>
      </c>
      <c r="I16" s="21">
        <f t="shared" si="6"/>
        <v>1.0420382165605095</v>
      </c>
      <c r="J16" s="21">
        <f t="shared" si="6"/>
        <v>1.0488758553274682</v>
      </c>
      <c r="K16" s="21">
        <f t="shared" si="6"/>
        <v>1.1088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14</v>
      </c>
      <c r="G19" s="62"/>
      <c r="H19" s="63">
        <f>H15/(1+$C$55)</f>
        <v>-132.47546194690267</v>
      </c>
      <c r="I19" s="63">
        <f>I15/(1+$C$55)^2</f>
        <v>-154.66215365337933</v>
      </c>
      <c r="J19" s="63">
        <f>J15/(1+$C$55)^3</f>
        <v>-115.76139114572979</v>
      </c>
      <c r="K19" s="63">
        <f>K15/(1+$C$55)^4</f>
        <v>-43.535810432405604</v>
      </c>
      <c r="L19" s="63">
        <f>L15/(1+$C$55)^5</f>
        <v>7.0558791679928321</v>
      </c>
      <c r="M19" s="63">
        <f>M15/(1+$C$55)^6</f>
        <v>25.063981398516137</v>
      </c>
      <c r="N19" s="63">
        <f>N15/(1+$C$55)^7</f>
        <v>59.887389182295195</v>
      </c>
      <c r="O19" s="63">
        <f>O15/(1+$C$55)^8</f>
        <v>89.433601101878907</v>
      </c>
      <c r="P19" s="63">
        <f>P15/(1+$C$55)^9</f>
        <v>123.4658563884346</v>
      </c>
      <c r="Q19" s="63">
        <f>Q15/(1+$C$55)^10</f>
        <v>159.34015389362875</v>
      </c>
      <c r="R19" s="64">
        <f>(R15/(C55-R12))/(1+C55)^10</f>
        <v>3841.868154990827</v>
      </c>
    </row>
    <row r="20" spans="1:18" x14ac:dyDescent="0.25">
      <c r="A20" s="2"/>
      <c r="C20" s="1" t="s">
        <v>32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29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28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7</v>
      </c>
      <c r="B25" s="44" t="s">
        <v>34</v>
      </c>
      <c r="C25" s="44"/>
      <c r="D25" s="46">
        <v>0.08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35</v>
      </c>
      <c r="C26" s="44"/>
      <c r="D26" s="46">
        <v>0.04</v>
      </c>
      <c r="E26" s="33"/>
      <c r="F26" s="44"/>
      <c r="G26" s="33"/>
      <c r="H26" s="33"/>
      <c r="I26" s="33"/>
      <c r="J26" s="34"/>
    </row>
    <row r="27" spans="1:18" x14ac:dyDescent="0.25">
      <c r="A27" s="43"/>
      <c r="B27" s="44" t="s">
        <v>36</v>
      </c>
      <c r="C27" s="44"/>
      <c r="D27" s="46">
        <v>0.01</v>
      </c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8</v>
      </c>
      <c r="C30" s="44"/>
      <c r="D30" s="48">
        <f>D25+D26+D27</f>
        <v>0.13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9</v>
      </c>
      <c r="B34" s="44" t="s">
        <v>37</v>
      </c>
      <c r="C34" s="50"/>
      <c r="D34" s="35">
        <v>0</v>
      </c>
      <c r="E34" s="33"/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10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30</v>
      </c>
      <c r="C46" s="37"/>
      <c r="D46" s="53">
        <f>D30+D34</f>
        <v>0.13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44505</v>
      </c>
      <c r="D48" s="25" t="s">
        <v>3</v>
      </c>
      <c r="E48" s="26"/>
      <c r="F48" s="27"/>
      <c r="G48" s="28"/>
      <c r="H48" s="28"/>
      <c r="I48" s="28"/>
    </row>
    <row r="49" spans="1:10" x14ac:dyDescent="0.25">
      <c r="A49" s="54" t="s">
        <v>0</v>
      </c>
      <c r="B49" s="55" t="s">
        <v>5</v>
      </c>
      <c r="C49" s="56">
        <f>C50*C51</f>
        <v>1015.5600000000001</v>
      </c>
      <c r="D49" s="57">
        <f>SUM(H19:R19)</f>
        <v>3859.680198945156</v>
      </c>
      <c r="E49" s="55" t="s">
        <v>33</v>
      </c>
    </row>
    <row r="50" spans="1:10" x14ac:dyDescent="0.25">
      <c r="A50" s="54"/>
      <c r="B50" s="55" t="s">
        <v>13</v>
      </c>
      <c r="C50" s="56">
        <v>37.200000000000003</v>
      </c>
      <c r="D50" s="56">
        <f>C50*1.1</f>
        <v>40.920000000000009</v>
      </c>
      <c r="E50" s="55"/>
      <c r="F50" s="1" t="s">
        <v>39</v>
      </c>
    </row>
    <row r="51" spans="1:10" x14ac:dyDescent="0.25">
      <c r="A51" s="54"/>
      <c r="B51" s="55" t="s">
        <v>15</v>
      </c>
      <c r="C51" s="68">
        <v>27.3</v>
      </c>
      <c r="D51" s="68">
        <f>D49/(D50)</f>
        <v>94.322585506968608</v>
      </c>
      <c r="E51" s="55" t="s">
        <v>33</v>
      </c>
    </row>
    <row r="52" spans="1:10" x14ac:dyDescent="0.25">
      <c r="A52" s="54"/>
      <c r="B52" s="55" t="s">
        <v>2</v>
      </c>
      <c r="C52" s="55"/>
      <c r="D52" s="69">
        <f>IF(C51/D51-1&gt;0,0,C51/D51-1)</f>
        <v>-0.7105677303769089</v>
      </c>
      <c r="E52" s="55"/>
    </row>
    <row r="53" spans="1:10" x14ac:dyDescent="0.25">
      <c r="A53" s="54"/>
      <c r="B53" s="55" t="s">
        <v>17</v>
      </c>
      <c r="C53" s="55"/>
      <c r="D53" s="70">
        <f>IF(C51/D51-1&lt;0,0,C51/D51-1)</f>
        <v>0</v>
      </c>
      <c r="E53" s="55"/>
    </row>
    <row r="54" spans="1:10" x14ac:dyDescent="0.25">
      <c r="A54" s="55"/>
      <c r="B54" s="55"/>
      <c r="C54" s="55"/>
      <c r="D54" s="58"/>
      <c r="E54" s="58"/>
    </row>
    <row r="55" spans="1:10" x14ac:dyDescent="0.25">
      <c r="A55" s="58" t="s">
        <v>28</v>
      </c>
      <c r="B55" s="55"/>
      <c r="C55" s="60">
        <f>D46</f>
        <v>0.13</v>
      </c>
      <c r="D55" s="59"/>
      <c r="E55" s="55"/>
      <c r="H55" s="1" t="s">
        <v>42</v>
      </c>
      <c r="J55" s="85">
        <f>0+E72*0.15+Optimistisch!E72*0.4+Pessimistisch!E72*0.25</f>
        <v>0.1649408280865913</v>
      </c>
    </row>
    <row r="56" spans="1:10" ht="16.5" thickBot="1" x14ac:dyDescent="0.3">
      <c r="A56" s="29"/>
      <c r="C56" s="79"/>
      <c r="D56" s="80"/>
    </row>
    <row r="57" spans="1:10" x14ac:dyDescent="0.25">
      <c r="A57" s="71" t="s">
        <v>27</v>
      </c>
      <c r="B57" s="30"/>
      <c r="C57" s="82">
        <v>30</v>
      </c>
      <c r="D57" s="30"/>
      <c r="E57" s="31"/>
    </row>
    <row r="58" spans="1:10" x14ac:dyDescent="0.25">
      <c r="A58" s="32" t="s">
        <v>38</v>
      </c>
      <c r="B58" s="33"/>
      <c r="C58" s="83">
        <f>E60/R11</f>
        <v>3.15</v>
      </c>
      <c r="D58" s="33"/>
      <c r="E58" s="34"/>
    </row>
    <row r="59" spans="1:10" x14ac:dyDescent="0.25">
      <c r="A59" s="32"/>
      <c r="B59" s="33"/>
      <c r="C59" s="83"/>
      <c r="D59" s="33"/>
      <c r="E59" s="34"/>
    </row>
    <row r="60" spans="1:10" x14ac:dyDescent="0.25">
      <c r="A60" s="32" t="s">
        <v>20</v>
      </c>
      <c r="B60" s="33"/>
      <c r="C60" s="83"/>
      <c r="D60" s="33"/>
      <c r="E60" s="72">
        <f>R15*C57</f>
        <v>17605.998479671878</v>
      </c>
    </row>
    <row r="61" spans="1:10" x14ac:dyDescent="0.25">
      <c r="A61" s="32"/>
      <c r="B61" s="33"/>
      <c r="C61" s="83"/>
      <c r="D61" s="33"/>
      <c r="E61" s="34"/>
    </row>
    <row r="62" spans="1:10" x14ac:dyDescent="0.25">
      <c r="A62" s="32" t="s">
        <v>21</v>
      </c>
      <c r="B62" s="33"/>
      <c r="C62" s="84">
        <v>0</v>
      </c>
      <c r="D62" s="33"/>
      <c r="E62" s="34"/>
    </row>
    <row r="63" spans="1:10" x14ac:dyDescent="0.25">
      <c r="A63" s="32"/>
      <c r="B63" s="33"/>
      <c r="C63" s="33"/>
      <c r="D63" s="33"/>
      <c r="E63" s="34"/>
    </row>
    <row r="64" spans="1:10" x14ac:dyDescent="0.25">
      <c r="A64" s="32" t="s">
        <v>22</v>
      </c>
      <c r="B64" s="33"/>
      <c r="C64" s="33"/>
      <c r="D64" s="33"/>
      <c r="E64" s="72">
        <f>SUM(H15:R15)*C62</f>
        <v>0</v>
      </c>
    </row>
    <row r="65" spans="1:5" x14ac:dyDescent="0.25">
      <c r="A65" s="32"/>
      <c r="B65" s="33"/>
      <c r="C65" s="33"/>
      <c r="D65" s="33"/>
      <c r="E65" s="73"/>
    </row>
    <row r="66" spans="1:5" x14ac:dyDescent="0.25">
      <c r="A66" s="74" t="s">
        <v>23</v>
      </c>
      <c r="B66" s="33"/>
      <c r="C66" s="33"/>
      <c r="D66" s="33"/>
      <c r="E66" s="75">
        <f>(E64*0.25)*-1</f>
        <v>0</v>
      </c>
    </row>
    <row r="67" spans="1:5" x14ac:dyDescent="0.25">
      <c r="A67" s="32"/>
      <c r="B67" s="33"/>
      <c r="C67" s="52"/>
      <c r="D67" s="52"/>
      <c r="E67" s="76"/>
    </row>
    <row r="68" spans="1:5" x14ac:dyDescent="0.25">
      <c r="A68" s="32" t="s">
        <v>24</v>
      </c>
      <c r="B68" s="33"/>
      <c r="C68" s="33"/>
      <c r="D68" s="33"/>
      <c r="E68" s="72">
        <f>SUM(E60:E66)</f>
        <v>17605.998479671878</v>
      </c>
    </row>
    <row r="69" spans="1:5" x14ac:dyDescent="0.25">
      <c r="A69" s="32"/>
      <c r="B69" s="33"/>
      <c r="C69" s="33"/>
      <c r="D69" s="33"/>
      <c r="E69" s="72"/>
    </row>
    <row r="70" spans="1:5" x14ac:dyDescent="0.25">
      <c r="A70" s="32" t="s">
        <v>25</v>
      </c>
      <c r="B70" s="33"/>
      <c r="C70" s="33"/>
      <c r="D70" s="33"/>
      <c r="E70" s="76">
        <f>E68/C49-1</f>
        <v>16.336246484375003</v>
      </c>
    </row>
    <row r="71" spans="1:5" x14ac:dyDescent="0.25">
      <c r="A71" s="32"/>
      <c r="B71" s="33"/>
      <c r="C71" s="33"/>
      <c r="D71" s="33"/>
      <c r="E71" s="34"/>
    </row>
    <row r="72" spans="1:5" ht="16.5" thickBot="1" x14ac:dyDescent="0.3">
      <c r="A72" s="77" t="s">
        <v>26</v>
      </c>
      <c r="B72" s="78"/>
      <c r="C72" s="78"/>
      <c r="D72" s="78"/>
      <c r="E72" s="81">
        <f>(E68/C49)^(1/10)-1</f>
        <v>0.33013434474625947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Tenbagger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2021-11-05T21:37:55Z</dcterms:modified>
</cp:coreProperties>
</file>