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Snow\"/>
    </mc:Choice>
  </mc:AlternateContent>
  <bookViews>
    <workbookView xWindow="0" yWindow="0" windowWidth="28800" windowHeight="12330"/>
  </bookViews>
  <sheets>
    <sheet name="Pessimistisches" sheetId="25" r:id="rId1"/>
    <sheet name="Optimistisch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4" l="1"/>
  <c r="K15" i="25"/>
  <c r="D50" i="25"/>
  <c r="C49" i="25"/>
  <c r="D30" i="25"/>
  <c r="D46" i="25" s="1"/>
  <c r="C55" i="25" s="1"/>
  <c r="G16" i="25"/>
  <c r="F16" i="25"/>
  <c r="J13" i="25"/>
  <c r="I13" i="25"/>
  <c r="H13" i="25"/>
  <c r="G13" i="25"/>
  <c r="F13" i="25"/>
  <c r="E13" i="25"/>
  <c r="J12" i="25"/>
  <c r="I12" i="25"/>
  <c r="H12" i="25"/>
  <c r="G12" i="25"/>
  <c r="F12" i="25"/>
  <c r="K11" i="25"/>
  <c r="K19" i="25" l="1"/>
  <c r="J19" i="25"/>
  <c r="I19" i="25"/>
  <c r="H19" i="25"/>
  <c r="L11" i="25"/>
  <c r="K14" i="25"/>
  <c r="I12" i="24"/>
  <c r="J12" i="24"/>
  <c r="I13" i="24"/>
  <c r="J13" i="24"/>
  <c r="H13" i="24"/>
  <c r="F12" i="24"/>
  <c r="F13" i="24"/>
  <c r="G13" i="24"/>
  <c r="E13" i="24"/>
  <c r="G12" i="24"/>
  <c r="M11" i="25" l="1"/>
  <c r="L14" i="25"/>
  <c r="L15" i="25" s="1"/>
  <c r="D50" i="24"/>
  <c r="D30" i="24"/>
  <c r="D46" i="24" s="1"/>
  <c r="C55" i="24" s="1"/>
  <c r="H19" i="24" s="1"/>
  <c r="H12" i="24"/>
  <c r="M14" i="25" l="1"/>
  <c r="M15" i="25" s="1"/>
  <c r="M19" i="25" s="1"/>
  <c r="N11" i="25"/>
  <c r="L19" i="25"/>
  <c r="F16" i="24"/>
  <c r="G16" i="24"/>
  <c r="K11" i="24"/>
  <c r="L11" i="24" s="1"/>
  <c r="J19" i="24"/>
  <c r="I19" i="24"/>
  <c r="C49" i="24"/>
  <c r="N14" i="25" l="1"/>
  <c r="N15" i="25" s="1"/>
  <c r="O11" i="25"/>
  <c r="K15" i="24"/>
  <c r="K19" i="24" s="1"/>
  <c r="K14" i="24"/>
  <c r="L14" i="24"/>
  <c r="M11" i="24"/>
  <c r="O14" i="25" l="1"/>
  <c r="O15" i="25" s="1"/>
  <c r="P11" i="25"/>
  <c r="N19" i="25"/>
  <c r="M14" i="24"/>
  <c r="M15" i="24" s="1"/>
  <c r="M19" i="24" s="1"/>
  <c r="N11" i="24"/>
  <c r="L19" i="24"/>
  <c r="Q11" i="25" l="1"/>
  <c r="P14" i="25"/>
  <c r="P15" i="25" s="1"/>
  <c r="O19" i="25"/>
  <c r="N14" i="24"/>
  <c r="N15" i="24" s="1"/>
  <c r="O11" i="24"/>
  <c r="P19" i="25" l="1"/>
  <c r="Q14" i="25"/>
  <c r="Q15" i="25" s="1"/>
  <c r="R11" i="25"/>
  <c r="R14" i="25" s="1"/>
  <c r="R15" i="25" s="1"/>
  <c r="O14" i="24"/>
  <c r="O15" i="24" s="1"/>
  <c r="P11" i="24"/>
  <c r="N19" i="24"/>
  <c r="E60" i="25" l="1"/>
  <c r="R19" i="25"/>
  <c r="D49" i="25" s="1"/>
  <c r="D51" i="25" s="1"/>
  <c r="E64" i="25"/>
  <c r="E66" i="25" s="1"/>
  <c r="D43" i="25"/>
  <c r="D44" i="25"/>
  <c r="D42" i="25"/>
  <c r="Q19" i="25"/>
  <c r="D41" i="25"/>
  <c r="D40" i="25"/>
  <c r="P14" i="24"/>
  <c r="P15" i="24" s="1"/>
  <c r="Q11" i="24"/>
  <c r="O19" i="24"/>
  <c r="D53" i="25" l="1"/>
  <c r="D52" i="25"/>
  <c r="E68" i="25"/>
  <c r="C58" i="25"/>
  <c r="P19" i="24"/>
  <c r="Q14" i="24"/>
  <c r="Q15" i="24" s="1"/>
  <c r="R11" i="24"/>
  <c r="R14" i="24" s="1"/>
  <c r="R15" i="24" s="1"/>
  <c r="E72" i="25" l="1"/>
  <c r="E70" i="25"/>
  <c r="D43" i="24"/>
  <c r="E60" i="24"/>
  <c r="R19" i="24"/>
  <c r="D41" i="24"/>
  <c r="D42" i="24"/>
  <c r="Q19" i="24"/>
  <c r="E64" i="24"/>
  <c r="E66" i="24" s="1"/>
  <c r="D40" i="24"/>
  <c r="D44" i="24"/>
  <c r="D49" i="24" l="1"/>
  <c r="D51" i="24" s="1"/>
  <c r="D53" i="24" s="1"/>
  <c r="C58" i="24"/>
  <c r="E68" i="24"/>
  <c r="D52" i="24" l="1"/>
  <c r="E72" i="24"/>
  <c r="E70" i="24"/>
</calcChain>
</file>

<file path=xl/sharedStrings.xml><?xml version="1.0" encoding="utf-8"?>
<sst xmlns="http://schemas.openxmlformats.org/spreadsheetml/2006/main" count="82" uniqueCount="40">
  <si>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</si>
  <si>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</si>
  <si>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</si>
  <si>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</si>
  <si>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</si>
  <si>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</si>
  <si>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</si>
  <si>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</si>
  <si>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</si>
  <si>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</si>
  <si>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</si>
  <si>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</si>
  <si>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</si>
  <si>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</si>
  <si>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</si>
  <si>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</si>
  <si>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</si>
  <si>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</si>
  <si>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</si>
  <si>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</si>
  <si>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</si>
  <si>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</si>
  <si>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</si>
  <si>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</si>
  <si>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</si>
  <si>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</si>
  <si>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</si>
  <si>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</si>
  <si>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</si>
  <si>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</si>
  <si>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Gewinn (25% Zinsen/Steuern/sonstiges)</t>
  </si>
  <si>
    <t>(ab 2025)</t>
  </si>
  <si>
    <t>USD</t>
  </si>
  <si>
    <t xml:space="preserve">Sicherheitszuschlag für Konkurrenz </t>
  </si>
  <si>
    <t>2032ff.</t>
  </si>
  <si>
    <t xml:space="preserve">Alle Angaben in Mio. </t>
  </si>
  <si>
    <t>Optimistische Annahmen für Snowflake</t>
  </si>
  <si>
    <t>Analytic Software</t>
  </si>
  <si>
    <t>25 % Abschlag vom EBIT für Zins und Steuern</t>
  </si>
  <si>
    <t>Pessimistische Annahmen für Snowflake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</si>
</sst>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  <xf numFmtId="165" fontId="0" fillId="7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topLeftCell="A25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39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35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/>
      <c r="E10" s="11">
        <v>2019</v>
      </c>
      <c r="F10" s="11">
        <v>2020</v>
      </c>
      <c r="G10" s="11">
        <v>2021</v>
      </c>
      <c r="H10" s="64">
        <v>2022</v>
      </c>
      <c r="I10" s="64">
        <v>2023</v>
      </c>
      <c r="J10" s="64">
        <v>2024</v>
      </c>
      <c r="K10" s="64">
        <v>2025</v>
      </c>
      <c r="L10" s="64">
        <v>2026</v>
      </c>
      <c r="M10" s="64">
        <v>2027</v>
      </c>
      <c r="N10" s="64">
        <v>2028</v>
      </c>
      <c r="O10" s="64">
        <v>2029</v>
      </c>
      <c r="P10" s="64">
        <v>2030</v>
      </c>
      <c r="Q10" s="64">
        <v>2031</v>
      </c>
      <c r="R10" s="63" t="s">
        <v>34</v>
      </c>
    </row>
    <row r="11" spans="1:28" x14ac:dyDescent="0.25">
      <c r="A11" s="5"/>
      <c r="B11" s="4" t="s">
        <v>4</v>
      </c>
      <c r="C11" s="85"/>
      <c r="D11" s="85"/>
      <c r="E11" s="85">
        <v>96.665999999999997</v>
      </c>
      <c r="F11" s="85">
        <v>264.74799999999999</v>
      </c>
      <c r="G11" s="85">
        <v>592.04900000000009</v>
      </c>
      <c r="H11" s="14">
        <v>1203.53</v>
      </c>
      <c r="I11" s="14">
        <v>1998.9699999999998</v>
      </c>
      <c r="J11" s="14">
        <v>3093.1000000000004</v>
      </c>
      <c r="K11" s="14">
        <f t="shared" ref="K11:R11" si="0">J11*(1+K12)</f>
        <v>4330.34</v>
      </c>
      <c r="L11" s="14">
        <f t="shared" si="0"/>
        <v>6062.4759999999997</v>
      </c>
      <c r="M11" s="14">
        <f t="shared" si="0"/>
        <v>8487.4663999999993</v>
      </c>
      <c r="N11" s="14">
        <f t="shared" si="0"/>
        <v>11882.452959999999</v>
      </c>
      <c r="O11" s="14">
        <f t="shared" si="0"/>
        <v>16635.434143999999</v>
      </c>
      <c r="P11" s="14">
        <f t="shared" si="0"/>
        <v>23289.607801599996</v>
      </c>
      <c r="Q11" s="14">
        <f t="shared" si="0"/>
        <v>32605.45092223999</v>
      </c>
      <c r="R11" s="14">
        <f t="shared" si="0"/>
        <v>35213.886996019195</v>
      </c>
    </row>
    <row r="12" spans="1:28" x14ac:dyDescent="0.25">
      <c r="A12" s="5"/>
      <c r="B12" s="4" t="s">
        <v>1</v>
      </c>
      <c r="C12" s="12"/>
      <c r="D12" s="12"/>
      <c r="E12" s="12"/>
      <c r="F12" s="12">
        <f t="shared" ref="F12:J12" si="1">F11/E11-1</f>
        <v>1.7387913020089796</v>
      </c>
      <c r="G12" s="12">
        <f t="shared" si="1"/>
        <v>1.2362737395561068</v>
      </c>
      <c r="H12" s="65">
        <f t="shared" si="1"/>
        <v>1.0328216076709862</v>
      </c>
      <c r="I12" s="65">
        <f t="shared" si="1"/>
        <v>0.66092245311708053</v>
      </c>
      <c r="J12" s="65">
        <f t="shared" si="1"/>
        <v>0.54734688364507744</v>
      </c>
      <c r="K12" s="65">
        <v>0.4</v>
      </c>
      <c r="L12" s="65">
        <v>0.4</v>
      </c>
      <c r="M12" s="65">
        <v>0.4</v>
      </c>
      <c r="N12" s="65">
        <v>0.4</v>
      </c>
      <c r="O12" s="65">
        <v>0.4</v>
      </c>
      <c r="P12" s="65">
        <v>0.4</v>
      </c>
      <c r="Q12" s="65">
        <v>0.4</v>
      </c>
      <c r="R12" s="15">
        <v>0.08</v>
      </c>
    </row>
    <row r="13" spans="1:28" ht="15.95" customHeight="1" x14ac:dyDescent="0.25">
      <c r="A13" s="5"/>
      <c r="B13" s="4" t="s">
        <v>17</v>
      </c>
      <c r="C13" s="12"/>
      <c r="D13" s="12"/>
      <c r="E13" s="12">
        <f>E14/E11</f>
        <v>-1.9186166801150353</v>
      </c>
      <c r="F13" s="12">
        <f t="shared" ref="F13:G13" si="2">F14/F11</f>
        <v>-1.3525616812969317</v>
      </c>
      <c r="G13" s="12">
        <f t="shared" si="2"/>
        <v>-0.91873645593523501</v>
      </c>
      <c r="H13" s="87">
        <f>H14/H11</f>
        <v>-3.9199999999999999E-2</v>
      </c>
      <c r="I13" s="87">
        <f t="shared" ref="I13:J13" si="3">I14/I11</f>
        <v>1.8999999999999998E-3</v>
      </c>
      <c r="J13" s="87">
        <f t="shared" si="3"/>
        <v>3.9399999999999998E-2</v>
      </c>
      <c r="K13" s="87">
        <v>-0.03</v>
      </c>
      <c r="L13" s="87">
        <v>0.08</v>
      </c>
      <c r="M13" s="87">
        <v>0.09</v>
      </c>
      <c r="N13" s="87">
        <v>0.1</v>
      </c>
      <c r="O13" s="87">
        <v>0.15</v>
      </c>
      <c r="P13" s="87">
        <v>0.18</v>
      </c>
      <c r="Q13" s="87">
        <v>0.21</v>
      </c>
      <c r="R13" s="87">
        <v>0.26</v>
      </c>
    </row>
    <row r="14" spans="1:28" ht="17.100000000000001" customHeight="1" x14ac:dyDescent="0.25">
      <c r="A14" s="5"/>
      <c r="B14" s="4" t="s">
        <v>18</v>
      </c>
      <c r="C14" s="85"/>
      <c r="D14" s="85"/>
      <c r="E14" s="85">
        <v>-185.465</v>
      </c>
      <c r="F14" s="85">
        <v>-358.08800000000002</v>
      </c>
      <c r="G14" s="85">
        <v>-543.93700000000001</v>
      </c>
      <c r="H14" s="14">
        <v>-47.178376</v>
      </c>
      <c r="I14" s="14">
        <v>3.7980429999999994</v>
      </c>
      <c r="J14" s="14">
        <v>121.86814000000001</v>
      </c>
      <c r="K14" s="14">
        <f>K11*K13</f>
        <v>-129.9102</v>
      </c>
      <c r="L14" s="14">
        <f t="shared" ref="L14:R14" si="4">L11*L13</f>
        <v>484.99807999999996</v>
      </c>
      <c r="M14" s="14">
        <f t="shared" si="4"/>
        <v>763.8719759999999</v>
      </c>
      <c r="N14" s="14">
        <f t="shared" si="4"/>
        <v>1188.2452959999998</v>
      </c>
      <c r="O14" s="14">
        <f>O11*O13</f>
        <v>2495.3151215999997</v>
      </c>
      <c r="P14" s="14">
        <f t="shared" si="4"/>
        <v>4192.129404287999</v>
      </c>
      <c r="Q14" s="14">
        <f t="shared" si="4"/>
        <v>6847.1446936703978</v>
      </c>
      <c r="R14" s="14">
        <f t="shared" si="4"/>
        <v>9155.6106189649909</v>
      </c>
    </row>
    <row r="15" spans="1:28" ht="16.5" thickBot="1" x14ac:dyDescent="0.3">
      <c r="A15" s="13">
        <v>0.25</v>
      </c>
      <c r="B15" s="4" t="s">
        <v>30</v>
      </c>
      <c r="C15" s="86"/>
      <c r="D15" s="85"/>
      <c r="E15" s="85">
        <v>-178.02799999999999</v>
      </c>
      <c r="F15" s="85">
        <v>-348.53500000000003</v>
      </c>
      <c r="G15" s="85">
        <v>-539.10199999999998</v>
      </c>
      <c r="H15" s="14">
        <v>-707.07387500000004</v>
      </c>
      <c r="I15" s="14">
        <v>-665.65701000000001</v>
      </c>
      <c r="J15" s="14">
        <v>-843.17906000000005</v>
      </c>
      <c r="K15" s="14">
        <f t="shared" ref="K15:Q15" si="5">K14*(1-$A$15)</f>
        <v>-97.432649999999995</v>
      </c>
      <c r="L15" s="14">
        <f t="shared" si="5"/>
        <v>363.74856</v>
      </c>
      <c r="M15" s="14">
        <f t="shared" si="5"/>
        <v>572.90398199999993</v>
      </c>
      <c r="N15" s="14">
        <f t="shared" si="5"/>
        <v>891.18397199999981</v>
      </c>
      <c r="O15" s="14">
        <f t="shared" si="5"/>
        <v>1871.4863411999997</v>
      </c>
      <c r="P15" s="14">
        <f t="shared" si="5"/>
        <v>3144.097053215999</v>
      </c>
      <c r="Q15" s="14">
        <f t="shared" si="5"/>
        <v>5135.3585202527984</v>
      </c>
      <c r="R15" s="14">
        <f>R14*(1-$A$15)</f>
        <v>6866.7079642237431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>
        <f t="shared" ref="F16:G16" si="6">F15/F14</f>
        <v>0.97332220012957704</v>
      </c>
      <c r="G16" s="19">
        <f t="shared" si="6"/>
        <v>0.99111110294023019</v>
      </c>
      <c r="H16" s="19"/>
      <c r="I16" s="19"/>
      <c r="J16" s="19"/>
      <c r="K16" s="19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-631.31595982142858</v>
      </c>
      <c r="I19" s="61">
        <f>I15/(1+$C$55)^2</f>
        <v>-530.65769292091829</v>
      </c>
      <c r="J19" s="61">
        <f>J15/(1+$C$55)^3</f>
        <v>-600.1582002778789</v>
      </c>
      <c r="K19" s="61">
        <f>K15/(1+$C$55)^4</f>
        <v>-61.920210501890473</v>
      </c>
      <c r="L19" s="61">
        <f>L15/(1+$C$55)^5</f>
        <v>206.40070167296824</v>
      </c>
      <c r="M19" s="61">
        <f>M15/(1+$C$55)^6</f>
        <v>290.25098672761152</v>
      </c>
      <c r="N19" s="61">
        <f>N15/(1+$C$55)^7</f>
        <v>403.12637045501594</v>
      </c>
      <c r="O19" s="61">
        <f>O15/(1+$C$55)^8</f>
        <v>755.86194460315483</v>
      </c>
      <c r="P19" s="61">
        <f>P15/(1+$C$55)^9</f>
        <v>1133.792916904732</v>
      </c>
      <c r="Q19" s="61">
        <f>Q15/(1+$C$55)^10</f>
        <v>1653.4480038194008</v>
      </c>
      <c r="R19" s="62">
        <f>(R15/(C55-R12))/(1+C55)^10</f>
        <v>55272.404699105704</v>
      </c>
    </row>
    <row r="20" spans="1:18" x14ac:dyDescent="0.25">
      <c r="A20" s="2"/>
      <c r="C20" s="1" t="s">
        <v>38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27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37</v>
      </c>
      <c r="C25" s="42"/>
      <c r="D25" s="44">
        <v>0.09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33</v>
      </c>
      <c r="C26" s="42"/>
      <c r="D26" s="44">
        <v>0.03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0.12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/>
      <c r="C34" s="48"/>
      <c r="D34" s="33">
        <v>0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28</v>
      </c>
      <c r="C46" s="35"/>
      <c r="D46" s="51">
        <f>D30+D34</f>
        <v>0.12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44554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106966.08600000001</v>
      </c>
      <c r="D49" s="55">
        <f>SUM(H19:R19)</f>
        <v>57891.233559766471</v>
      </c>
      <c r="E49" s="53" t="s">
        <v>32</v>
      </c>
    </row>
    <row r="50" spans="1:10" x14ac:dyDescent="0.25">
      <c r="A50" s="52"/>
      <c r="B50" s="53" t="s">
        <v>13</v>
      </c>
      <c r="C50" s="54">
        <v>306.3</v>
      </c>
      <c r="D50" s="54">
        <f>C50</f>
        <v>306.3</v>
      </c>
      <c r="E50" s="53"/>
    </row>
    <row r="51" spans="1:10" x14ac:dyDescent="0.25">
      <c r="A51" s="52"/>
      <c r="B51" s="53" t="s">
        <v>15</v>
      </c>
      <c r="C51" s="66">
        <v>349.22</v>
      </c>
      <c r="D51" s="66">
        <f>D49/(D50)</f>
        <v>189.00174195157189</v>
      </c>
      <c r="E51" s="53" t="s">
        <v>32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16</v>
      </c>
      <c r="C53" s="53"/>
      <c r="D53" s="68">
        <f>IF(C51/D51-1&lt;0,0,C51/D51-1)</f>
        <v>0.84770783800226046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27</v>
      </c>
      <c r="B55" s="53"/>
      <c r="C55" s="58">
        <f>D46</f>
        <v>0.12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26</v>
      </c>
      <c r="B57" s="28"/>
      <c r="C57" s="80">
        <v>30</v>
      </c>
      <c r="D57" s="28"/>
      <c r="E57" s="29"/>
    </row>
    <row r="58" spans="1:10" x14ac:dyDescent="0.25">
      <c r="A58" s="30" t="s">
        <v>29</v>
      </c>
      <c r="B58" s="31"/>
      <c r="C58" s="81">
        <f>E60/R11</f>
        <v>5.8500000000000005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19</v>
      </c>
      <c r="B60" s="31"/>
      <c r="C60" s="81"/>
      <c r="D60" s="31"/>
      <c r="E60" s="70">
        <f>R15*C57</f>
        <v>206001.23892671231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20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21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22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23</v>
      </c>
      <c r="B68" s="31"/>
      <c r="C68" s="31"/>
      <c r="D68" s="31"/>
      <c r="E68" s="70">
        <f>SUM(E60:E66)</f>
        <v>206001.23892671231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24</v>
      </c>
      <c r="B70" s="31"/>
      <c r="C70" s="31"/>
      <c r="D70" s="31"/>
      <c r="E70" s="74">
        <f>E68/C49-1</f>
        <v>0.92585562985554404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25</v>
      </c>
      <c r="B72" s="76"/>
      <c r="C72" s="76"/>
      <c r="D72" s="76"/>
      <c r="E72" s="79">
        <f>(E68/C49)^(1/10)-1</f>
        <v>6.7732280262816635E-2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25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36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35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/>
      <c r="E10" s="11">
        <v>2019</v>
      </c>
      <c r="F10" s="11">
        <v>2020</v>
      </c>
      <c r="G10" s="11">
        <v>2021</v>
      </c>
      <c r="H10" s="64">
        <v>2022</v>
      </c>
      <c r="I10" s="64">
        <v>2023</v>
      </c>
      <c r="J10" s="64">
        <v>2024</v>
      </c>
      <c r="K10" s="64">
        <v>2025</v>
      </c>
      <c r="L10" s="64">
        <v>2026</v>
      </c>
      <c r="M10" s="64">
        <v>2027</v>
      </c>
      <c r="N10" s="64">
        <v>2028</v>
      </c>
      <c r="O10" s="64">
        <v>2029</v>
      </c>
      <c r="P10" s="64">
        <v>2030</v>
      </c>
      <c r="Q10" s="64">
        <v>2031</v>
      </c>
      <c r="R10" s="63" t="s">
        <v>34</v>
      </c>
    </row>
    <row r="11" spans="1:28" x14ac:dyDescent="0.25">
      <c r="A11" s="5"/>
      <c r="B11" s="4" t="s">
        <v>4</v>
      </c>
      <c r="C11" s="85"/>
      <c r="D11" s="85"/>
      <c r="E11" s="85">
        <v>96.665999999999997</v>
      </c>
      <c r="F11" s="85">
        <v>264.74799999999999</v>
      </c>
      <c r="G11" s="85">
        <v>592.04900000000009</v>
      </c>
      <c r="H11" s="14">
        <v>1203.53</v>
      </c>
      <c r="I11" s="14">
        <v>1998.9699999999998</v>
      </c>
      <c r="J11" s="14">
        <v>3093.1000000000004</v>
      </c>
      <c r="K11" s="14">
        <f t="shared" ref="K11" si="0">J11*(1+K12)</f>
        <v>4794.3050000000003</v>
      </c>
      <c r="L11" s="14">
        <f t="shared" ref="L11:R11" si="1">K11*(1+L12)</f>
        <v>7431.1727500000006</v>
      </c>
      <c r="M11" s="14">
        <f t="shared" si="1"/>
        <v>11146.759125</v>
      </c>
      <c r="N11" s="14">
        <f t="shared" si="1"/>
        <v>16720.138687500003</v>
      </c>
      <c r="O11" s="14">
        <f t="shared" si="1"/>
        <v>24244.201096875004</v>
      </c>
      <c r="P11" s="14">
        <f t="shared" si="1"/>
        <v>35154.091590468757</v>
      </c>
      <c r="Q11" s="14">
        <f t="shared" si="1"/>
        <v>49215.728226656254</v>
      </c>
      <c r="R11" s="14">
        <f t="shared" si="1"/>
        <v>53645.14376705532</v>
      </c>
    </row>
    <row r="12" spans="1:28" x14ac:dyDescent="0.25">
      <c r="A12" s="5"/>
      <c r="B12" s="4" t="s">
        <v>1</v>
      </c>
      <c r="C12" s="12"/>
      <c r="D12" s="12"/>
      <c r="E12" s="12"/>
      <c r="F12" s="12">
        <f t="shared" ref="F12:H12" si="2">F11/E11-1</f>
        <v>1.7387913020089796</v>
      </c>
      <c r="G12" s="12">
        <f t="shared" si="2"/>
        <v>1.2362737395561068</v>
      </c>
      <c r="H12" s="65">
        <f t="shared" si="2"/>
        <v>1.0328216076709862</v>
      </c>
      <c r="I12" s="65">
        <f t="shared" ref="I12" si="3">I11/H11-1</f>
        <v>0.66092245311708053</v>
      </c>
      <c r="J12" s="65">
        <f t="shared" ref="J12" si="4">J11/I11-1</f>
        <v>0.54734688364507744</v>
      </c>
      <c r="K12" s="65">
        <v>0.55000000000000004</v>
      </c>
      <c r="L12" s="65">
        <v>0.55000000000000004</v>
      </c>
      <c r="M12" s="65">
        <v>0.5</v>
      </c>
      <c r="N12" s="65">
        <v>0.5</v>
      </c>
      <c r="O12" s="15">
        <v>0.45</v>
      </c>
      <c r="P12" s="15">
        <v>0.45</v>
      </c>
      <c r="Q12" s="15">
        <v>0.4</v>
      </c>
      <c r="R12" s="15">
        <v>0.09</v>
      </c>
    </row>
    <row r="13" spans="1:28" ht="15.95" customHeight="1" x14ac:dyDescent="0.25">
      <c r="A13" s="5"/>
      <c r="B13" s="4" t="s">
        <v>17</v>
      </c>
      <c r="C13" s="12"/>
      <c r="D13" s="12"/>
      <c r="E13" s="12">
        <f>E14/E11</f>
        <v>-1.9186166801150353</v>
      </c>
      <c r="F13" s="12">
        <f t="shared" ref="F13:G13" si="5">F14/F11</f>
        <v>-1.3525616812969317</v>
      </c>
      <c r="G13" s="12">
        <f t="shared" si="5"/>
        <v>-0.91873645593523501</v>
      </c>
      <c r="H13" s="87">
        <f>H14/H11</f>
        <v>-3.9199999999999999E-2</v>
      </c>
      <c r="I13" s="87">
        <f t="shared" ref="I13:J13" si="6">I14/I11</f>
        <v>1.8999999999999998E-3</v>
      </c>
      <c r="J13" s="87">
        <f t="shared" si="6"/>
        <v>3.9399999999999998E-2</v>
      </c>
      <c r="K13" s="87">
        <v>0.05</v>
      </c>
      <c r="L13" s="87">
        <v>9.5000000000000001E-2</v>
      </c>
      <c r="M13" s="87">
        <v>0.1</v>
      </c>
      <c r="N13" s="87">
        <v>0.12</v>
      </c>
      <c r="O13" s="87">
        <v>0.18</v>
      </c>
      <c r="P13" s="87">
        <v>0.2</v>
      </c>
      <c r="Q13" s="87">
        <v>0.23</v>
      </c>
      <c r="R13" s="87">
        <v>0.28000000000000003</v>
      </c>
    </row>
    <row r="14" spans="1:28" ht="17.100000000000001" customHeight="1" x14ac:dyDescent="0.25">
      <c r="A14" s="5"/>
      <c r="B14" s="4" t="s">
        <v>18</v>
      </c>
      <c r="C14" s="85"/>
      <c r="D14" s="85"/>
      <c r="E14" s="85">
        <v>-185.465</v>
      </c>
      <c r="F14" s="85">
        <v>-358.08800000000002</v>
      </c>
      <c r="G14" s="85">
        <v>-543.93700000000001</v>
      </c>
      <c r="H14" s="14">
        <v>-47.178376</v>
      </c>
      <c r="I14" s="14">
        <v>3.7980429999999994</v>
      </c>
      <c r="J14" s="14">
        <v>121.86814000000001</v>
      </c>
      <c r="K14" s="14">
        <f>K11*K13</f>
        <v>239.71525000000003</v>
      </c>
      <c r="L14" s="14">
        <f t="shared" ref="L14:R14" si="7">L11*L13</f>
        <v>705.96141125000008</v>
      </c>
      <c r="M14" s="14">
        <f t="shared" si="7"/>
        <v>1114.6759125000001</v>
      </c>
      <c r="N14" s="14">
        <f t="shared" si="7"/>
        <v>2006.4166425000003</v>
      </c>
      <c r="O14" s="14">
        <f>O11*O13</f>
        <v>4363.9561974375001</v>
      </c>
      <c r="P14" s="14">
        <f t="shared" si="7"/>
        <v>7030.8183180937522</v>
      </c>
      <c r="Q14" s="14">
        <f t="shared" si="7"/>
        <v>11319.617492130939</v>
      </c>
      <c r="R14" s="14">
        <f t="shared" si="7"/>
        <v>15020.640254775491</v>
      </c>
    </row>
    <row r="15" spans="1:28" ht="16.5" thickBot="1" x14ac:dyDescent="0.3">
      <c r="A15" s="13">
        <v>0.25</v>
      </c>
      <c r="B15" s="4" t="s">
        <v>30</v>
      </c>
      <c r="C15" s="86"/>
      <c r="D15" s="85"/>
      <c r="E15" s="85">
        <v>-178.02799999999999</v>
      </c>
      <c r="F15" s="85">
        <v>-348.53500000000003</v>
      </c>
      <c r="G15" s="85">
        <v>-539.10199999999998</v>
      </c>
      <c r="H15" s="14">
        <v>-707.07387500000004</v>
      </c>
      <c r="I15" s="14">
        <v>-665.65701000000001</v>
      </c>
      <c r="J15" s="14">
        <v>-843.17906000000005</v>
      </c>
      <c r="K15" s="14">
        <f>K11*0.0295</f>
        <v>141.43199749999999</v>
      </c>
      <c r="L15" s="14">
        <f t="shared" ref="L15:Q15" si="8">L14*(1-$A$15)</f>
        <v>529.47105843750001</v>
      </c>
      <c r="M15" s="14">
        <f t="shared" si="8"/>
        <v>836.00693437500013</v>
      </c>
      <c r="N15" s="14">
        <f t="shared" si="8"/>
        <v>1504.8124818750002</v>
      </c>
      <c r="O15" s="14">
        <f t="shared" si="8"/>
        <v>3272.9671480781253</v>
      </c>
      <c r="P15" s="14">
        <f t="shared" si="8"/>
        <v>5273.1137385703141</v>
      </c>
      <c r="Q15" s="14">
        <f t="shared" si="8"/>
        <v>8489.7131190982036</v>
      </c>
      <c r="R15" s="14">
        <f>R14*(1-$A$15)</f>
        <v>11265.480191081619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>
        <f t="shared" ref="F16:G16" si="9">F15/F14</f>
        <v>0.97332220012957704</v>
      </c>
      <c r="G16" s="19">
        <f t="shared" si="9"/>
        <v>0.99111110294023019</v>
      </c>
      <c r="H16" s="19"/>
      <c r="I16" s="19"/>
      <c r="J16" s="19"/>
      <c r="K16" s="19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-631.31595982142858</v>
      </c>
      <c r="I19" s="61">
        <f>I15/(1+$C$55)^2</f>
        <v>-530.65769292091829</v>
      </c>
      <c r="J19" s="61">
        <f>J15/(1+$C$55)^3</f>
        <v>-600.1582002778789</v>
      </c>
      <c r="K19" s="61">
        <f>K15/(1+$C$55)^4</f>
        <v>89.882591276156887</v>
      </c>
      <c r="L19" s="61">
        <f>L15/(1+$C$55)^5</f>
        <v>300.43609788318935</v>
      </c>
      <c r="M19" s="61">
        <f>M15/(1+$C$55)^6</f>
        <v>423.54713047442107</v>
      </c>
      <c r="N19" s="61">
        <f>N15/(1+$C$55)^7</f>
        <v>680.70074540531959</v>
      </c>
      <c r="O19" s="61">
        <f>O15/(1+$C$55)^8</f>
        <v>1321.896536836223</v>
      </c>
      <c r="P19" s="61">
        <f>P15/(1+$C$55)^9</f>
        <v>1901.5376769965515</v>
      </c>
      <c r="Q19" s="61">
        <f>Q15/(1+$C$55)^10</f>
        <v>2733.4604106825418</v>
      </c>
      <c r="R19" s="62">
        <f>(R15/(C55-R12))/(1+C55)^10</f>
        <v>120906.10396236405</v>
      </c>
    </row>
    <row r="20" spans="1:18" x14ac:dyDescent="0.25">
      <c r="A20" s="2"/>
      <c r="C20" s="1" t="s">
        <v>38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27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37</v>
      </c>
      <c r="C25" s="42"/>
      <c r="D25" s="44">
        <v>0.09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33</v>
      </c>
      <c r="C26" s="42"/>
      <c r="D26" s="44">
        <v>0.03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0.12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/>
      <c r="C34" s="48"/>
      <c r="D34" s="33">
        <v>0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28</v>
      </c>
      <c r="C46" s="35"/>
      <c r="D46" s="51">
        <f>D30+D34</f>
        <v>0.12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44554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106966.08600000001</v>
      </c>
      <c r="D49" s="55">
        <f>SUM(H19:R19)</f>
        <v>126595.43329889824</v>
      </c>
      <c r="E49" s="53" t="s">
        <v>32</v>
      </c>
    </row>
    <row r="50" spans="1:10" x14ac:dyDescent="0.25">
      <c r="A50" s="52"/>
      <c r="B50" s="53" t="s">
        <v>13</v>
      </c>
      <c r="C50" s="54">
        <v>306.3</v>
      </c>
      <c r="D50" s="54">
        <f>C50</f>
        <v>306.3</v>
      </c>
      <c r="E50" s="53"/>
    </row>
    <row r="51" spans="1:10" x14ac:dyDescent="0.25">
      <c r="A51" s="52"/>
      <c r="B51" s="53" t="s">
        <v>15</v>
      </c>
      <c r="C51" s="66">
        <v>349.22</v>
      </c>
      <c r="D51" s="66">
        <f>D49/(D50)</f>
        <v>413.30536499803537</v>
      </c>
      <c r="E51" s="53" t="s">
        <v>32</v>
      </c>
    </row>
    <row r="52" spans="1:10" x14ac:dyDescent="0.25">
      <c r="A52" s="52"/>
      <c r="B52" s="53" t="s">
        <v>2</v>
      </c>
      <c r="C52" s="53"/>
      <c r="D52" s="67">
        <f>IF(C51/D51-1&gt;0,0,C51/D51-1)</f>
        <v>-0.15505572979518423</v>
      </c>
      <c r="E52" s="53"/>
    </row>
    <row r="53" spans="1:10" x14ac:dyDescent="0.25">
      <c r="A53" s="52"/>
      <c r="B53" s="53" t="s">
        <v>16</v>
      </c>
      <c r="C53" s="53"/>
      <c r="D53" s="68">
        <f>IF(C51/D51-1&lt;0,0,C51/D51-1)</f>
        <v>0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27</v>
      </c>
      <c r="B55" s="53"/>
      <c r="C55" s="58">
        <f>D46</f>
        <v>0.12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26</v>
      </c>
      <c r="B57" s="28"/>
      <c r="C57" s="80">
        <v>35</v>
      </c>
      <c r="D57" s="28"/>
      <c r="E57" s="29"/>
    </row>
    <row r="58" spans="1:10" x14ac:dyDescent="0.25">
      <c r="A58" s="30" t="s">
        <v>29</v>
      </c>
      <c r="B58" s="31"/>
      <c r="C58" s="81">
        <f>E60/R11</f>
        <v>7.3500000000000014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19</v>
      </c>
      <c r="B60" s="31"/>
      <c r="C60" s="81"/>
      <c r="D60" s="31"/>
      <c r="E60" s="70">
        <f>R15*C57</f>
        <v>394291.80668785668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20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21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22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23</v>
      </c>
      <c r="B68" s="31"/>
      <c r="C68" s="31"/>
      <c r="D68" s="31"/>
      <c r="E68" s="70">
        <f>SUM(E60:E66)</f>
        <v>394291.80668785668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24</v>
      </c>
      <c r="B70" s="31"/>
      <c r="C70" s="31"/>
      <c r="D70" s="31"/>
      <c r="E70" s="74">
        <f>E68/C49-1</f>
        <v>2.6861384896130223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25</v>
      </c>
      <c r="B72" s="76"/>
      <c r="C72" s="76"/>
      <c r="D72" s="76"/>
      <c r="E72" s="79">
        <f>(E68/C49)^(1/10)-1</f>
        <v>0.13935002127972185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Pessimistisches</vt:lpstr>
      <vt:lpstr>Optimistisches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2021-12-24T13:22:22Z</dcterms:modified>
</cp:coreProperties>
</file>