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_grca1ny\Desktop\CS-Research\Aktienanalysen\Snow\"/>
    </mc:Choice>
  </mc:AlternateContent>
  <bookViews>
    <workbookView xWindow="0" yWindow="0" windowWidth="28800" windowHeight="12330"/>
  </bookViews>
  <sheets>
    <sheet name="Pessimistisches" sheetId="25" r:id="rId1"/>
    <sheet name="Optimistisches" sheetId="2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24" l="1"/>
  <c r="K15" i="25"/>
  <c r="D50" i="25"/>
  <c r="C49" i="25"/>
  <c r="D30" i="25"/>
  <c r="D46" i="25" s="1"/>
  <c r="C55" i="25" s="1"/>
  <c r="G16" i="25"/>
  <c r="F16" i="25"/>
  <c r="J13" i="25"/>
  <c r="I13" i="25"/>
  <c r="H13" i="25"/>
  <c r="G13" i="25"/>
  <c r="F13" i="25"/>
  <c r="E13" i="25"/>
  <c r="J12" i="25"/>
  <c r="I12" i="25"/>
  <c r="H12" i="25"/>
  <c r="G12" i="25"/>
  <c r="F12" i="25"/>
  <c r="K11" i="25"/>
  <c r="K19" i="25" l="1"/>
  <c r="J19" i="25"/>
  <c r="I19" i="25"/>
  <c r="H19" i="25"/>
  <c r="L11" i="25"/>
  <c r="K14" i="25"/>
  <c r="I12" i="24"/>
  <c r="J12" i="24"/>
  <c r="I13" i="24"/>
  <c r="J13" i="24"/>
  <c r="H13" i="24"/>
  <c r="F12" i="24"/>
  <c r="F13" i="24"/>
  <c r="G13" i="24"/>
  <c r="E13" i="24"/>
  <c r="G12" i="24"/>
  <c r="M11" i="25" l="1"/>
  <c r="L14" i="25"/>
  <c r="L15" i="25" s="1"/>
  <c r="D50" i="24"/>
  <c r="D30" i="24"/>
  <c r="D46" i="24" s="1"/>
  <c r="C55" i="24" s="1"/>
  <c r="H19" i="24" s="1"/>
  <c r="H12" i="24"/>
  <c r="M14" i="25" l="1"/>
  <c r="M15" i="25" s="1"/>
  <c r="M19" i="25" s="1"/>
  <c r="N11" i="25"/>
  <c r="L19" i="25"/>
  <c r="F16" i="24"/>
  <c r="G16" i="24"/>
  <c r="K11" i="24"/>
  <c r="L11" i="24" s="1"/>
  <c r="J19" i="24"/>
  <c r="I19" i="24"/>
  <c r="C49" i="24"/>
  <c r="N14" i="25" l="1"/>
  <c r="N15" i="25" s="1"/>
  <c r="O11" i="25"/>
  <c r="K15" i="24"/>
  <c r="K19" i="24" s="1"/>
  <c r="K14" i="24"/>
  <c r="L14" i="24"/>
  <c r="M11" i="24"/>
  <c r="O14" i="25" l="1"/>
  <c r="O15" i="25" s="1"/>
  <c r="P11" i="25"/>
  <c r="N19" i="25"/>
  <c r="M14" i="24"/>
  <c r="M15" i="24" s="1"/>
  <c r="M19" i="24" s="1"/>
  <c r="N11" i="24"/>
  <c r="L19" i="24"/>
  <c r="Q11" i="25" l="1"/>
  <c r="P14" i="25"/>
  <c r="P15" i="25" s="1"/>
  <c r="O19" i="25"/>
  <c r="N14" i="24"/>
  <c r="N15" i="24" s="1"/>
  <c r="O11" i="24"/>
  <c r="P19" i="25" l="1"/>
  <c r="Q14" i="25"/>
  <c r="Q15" i="25" s="1"/>
  <c r="R11" i="25"/>
  <c r="R14" i="25" s="1"/>
  <c r="R15" i="25" s="1"/>
  <c r="O14" i="24"/>
  <c r="O15" i="24" s="1"/>
  <c r="P11" i="24"/>
  <c r="N19" i="24"/>
  <c r="E60" i="25" l="1"/>
  <c r="R19" i="25"/>
  <c r="D49" i="25" s="1"/>
  <c r="D51" i="25" s="1"/>
  <c r="E64" i="25"/>
  <c r="E66" i="25" s="1"/>
  <c r="D43" i="25"/>
  <c r="D44" i="25"/>
  <c r="D42" i="25"/>
  <c r="Q19" i="25"/>
  <c r="D41" i="25"/>
  <c r="D40" i="25"/>
  <c r="P14" i="24"/>
  <c r="P15" i="24" s="1"/>
  <c r="Q11" i="24"/>
  <c r="O19" i="24"/>
  <c r="D53" i="25" l="1"/>
  <c r="D52" i="25"/>
  <c r="E68" i="25"/>
  <c r="C58" i="25"/>
  <c r="P19" i="24"/>
  <c r="Q14" i="24"/>
  <c r="Q15" i="24" s="1"/>
  <c r="R11" i="24"/>
  <c r="R14" i="24" s="1"/>
  <c r="R15" i="24" s="1"/>
  <c r="E72" i="25" l="1"/>
  <c r="E70" i="25"/>
  <c r="D43" i="24"/>
  <c r="E60" i="24"/>
  <c r="R19" i="24"/>
  <c r="D41" i="24"/>
  <c r="D42" i="24"/>
  <c r="Q19" i="24"/>
  <c r="E64" i="24"/>
  <c r="E66" i="24" s="1"/>
  <c r="D40" i="24"/>
  <c r="D44" i="24"/>
  <c r="D49" i="24" l="1"/>
  <c r="D51" i="24" s="1"/>
  <c r="D53" i="24" s="1"/>
  <c r="C58" i="24"/>
  <c r="E68" i="24"/>
  <c r="D52" i="24" l="1"/>
  <c r="E72" i="24"/>
  <c r="E70" i="24"/>
</calcChain>
</file>

<file path=xl/sharedStrings.xml><?xml version="1.0" encoding="utf-8"?>
<sst xmlns="http://schemas.openxmlformats.org/spreadsheetml/2006/main" count="82" uniqueCount="40">
  <si>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</si>
  <si>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</si>
  <si>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</si>
  <si>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</si>
  <si>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</si>
  <si>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</si>
  <si>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</si>
  <si>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Branche</t>
  </si>
  <si>
    <t>Gesamt Branche: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</si>
  <si>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</si>
  <si>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</si>
  <si>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</si>
  <si>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</si>
  <si>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</si>
  <si>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</si>
  <si>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</si>
  <si>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</si>
  <si>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</si>
  <si>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</si>
  <si>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>Konzerngewinn x multiple</t>
  </si>
  <si>
    <t xml:space="preserve">Ausschüttungsquote </t>
  </si>
  <si>
    <t xml:space="preserve">Ausgeschüttete Gewinne </t>
  </si>
  <si>
    <t>Quellensteuer</t>
  </si>
  <si>
    <t>Gesamtwert 2031</t>
  </si>
  <si>
    <t>Steigerung Gesamt bis 2031 in Prozent</t>
  </si>
  <si>
    <t>Renditeerwartung bis 2031 pro Jahr</t>
  </si>
  <si>
    <t>Gewinnmultiple in 2031</t>
  </si>
  <si>
    <t>Eigenkapitalzins</t>
  </si>
  <si>
    <t>EK-Zins</t>
  </si>
  <si>
    <t xml:space="preserve">Umsatzmultiple </t>
  </si>
  <si>
    <t>Gewinn (25% Zinsen/Steuern/sonstiges)</t>
  </si>
  <si>
    <t>(ab 2025)</t>
  </si>
  <si>
    <t>USD</t>
  </si>
  <si>
    <t xml:space="preserve">Sicherheitszuschlag für Konkurrenz </t>
  </si>
  <si>
    <t>2032ff.</t>
  </si>
  <si>
    <t xml:space="preserve">Alle Angaben in Mio. </t>
  </si>
  <si>
    <t>Optimistische Annahmen für Snowflake</t>
  </si>
  <si>
    <t>Analytic Software</t>
  </si>
  <si>
    <t>25 % Abschlag vom EBIT für Zins und Steuern</t>
  </si>
  <si>
    <t>Pessimistische Annahmen für Snowflake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</si>
</sst>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;@"/>
    <numFmt numFmtId="165" formatCode="0.0%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5" fillId="2" borderId="0" xfId="0" applyFont="1" applyFill="1"/>
    <xf numFmtId="0" fontId="0" fillId="3" borderId="0" xfId="0" applyFill="1"/>
    <xf numFmtId="0" fontId="3" fillId="3" borderId="0" xfId="0" applyFont="1" applyFill="1" applyAlignment="1">
      <alignment vertical="center" wrapText="1"/>
    </xf>
    <xf numFmtId="0" fontId="7" fillId="2" borderId="0" xfId="0" applyFont="1" applyFill="1"/>
    <xf numFmtId="9" fontId="7" fillId="2" borderId="0" xfId="1" applyFont="1" applyFill="1"/>
    <xf numFmtId="0" fontId="0" fillId="4" borderId="0" xfId="0" applyFill="1"/>
    <xf numFmtId="0" fontId="3" fillId="4" borderId="0" xfId="0" applyFont="1" applyFill="1"/>
    <xf numFmtId="0" fontId="2" fillId="4" borderId="0" xfId="0" applyFont="1" applyFill="1"/>
    <xf numFmtId="0" fontId="3" fillId="5" borderId="0" xfId="0" applyFont="1" applyFill="1"/>
    <xf numFmtId="9" fontId="0" fillId="5" borderId="0" xfId="1" applyFont="1" applyFill="1"/>
    <xf numFmtId="9" fontId="1" fillId="6" borderId="0" xfId="1" applyFont="1" applyFill="1"/>
    <xf numFmtId="3" fontId="0" fillId="7" borderId="0" xfId="0" applyNumberFormat="1" applyFont="1" applyFill="1"/>
    <xf numFmtId="165" fontId="1" fillId="7" borderId="0" xfId="1" applyNumberFormat="1" applyFont="1" applyFill="1"/>
    <xf numFmtId="0" fontId="0" fillId="2" borderId="1" xfId="0" applyFill="1" applyBorder="1" applyAlignment="1">
      <alignment wrapText="1"/>
    </xf>
    <xf numFmtId="0" fontId="6" fillId="2" borderId="2" xfId="0" applyFont="1" applyFill="1" applyBorder="1"/>
    <xf numFmtId="9" fontId="0" fillId="2" borderId="2" xfId="1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164" fontId="3" fillId="6" borderId="0" xfId="0" applyNumberFormat="1" applyFont="1" applyFill="1"/>
    <xf numFmtId="0" fontId="3" fillId="6" borderId="0" xfId="0" applyFont="1" applyFill="1" applyAlignment="1">
      <alignment horizontal="right"/>
    </xf>
    <xf numFmtId="0" fontId="5" fillId="6" borderId="0" xfId="0" applyFont="1" applyFill="1"/>
    <xf numFmtId="0" fontId="8" fillId="6" borderId="0" xfId="0" applyFont="1" applyFill="1"/>
    <xf numFmtId="4" fontId="3" fillId="6" borderId="0" xfId="0" applyNumberFormat="1" applyFont="1" applyFill="1"/>
    <xf numFmtId="0" fontId="3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10" fontId="0" fillId="2" borderId="0" xfId="0" applyNumberForma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9" fillId="2" borderId="0" xfId="0" applyFont="1" applyFill="1"/>
    <xf numFmtId="4" fontId="3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/>
    <xf numFmtId="165" fontId="1" fillId="2" borderId="0" xfId="1" applyNumberFormat="1" applyFont="1" applyFill="1" applyBorder="1"/>
    <xf numFmtId="3" fontId="3" fillId="2" borderId="0" xfId="0" applyNumberFormat="1" applyFont="1" applyFill="1" applyBorder="1"/>
    <xf numFmtId="165" fontId="3" fillId="2" borderId="0" xfId="1" applyNumberFormat="1" applyFont="1" applyFill="1" applyBorder="1"/>
    <xf numFmtId="9" fontId="0" fillId="2" borderId="0" xfId="1" applyNumberFormat="1" applyFont="1" applyFill="1" applyBorder="1"/>
    <xf numFmtId="9" fontId="0" fillId="2" borderId="0" xfId="0" applyNumberFormat="1" applyFill="1" applyBorder="1"/>
    <xf numFmtId="9" fontId="3" fillId="2" borderId="0" xfId="0" applyNumberFormat="1" applyFont="1" applyFill="1" applyBorder="1"/>
    <xf numFmtId="9" fontId="0" fillId="2" borderId="0" xfId="1" applyFont="1" applyFill="1" applyBorder="1"/>
    <xf numFmtId="10" fontId="3" fillId="2" borderId="10" xfId="0" applyNumberFormat="1" applyFont="1" applyFill="1" applyBorder="1"/>
    <xf numFmtId="0" fontId="3" fillId="8" borderId="0" xfId="0" applyFont="1" applyFill="1" applyAlignment="1">
      <alignment vertical="center" wrapText="1"/>
    </xf>
    <xf numFmtId="0" fontId="0" fillId="8" borderId="0" xfId="0" applyFill="1"/>
    <xf numFmtId="3" fontId="0" fillId="8" borderId="0" xfId="0" applyNumberFormat="1" applyFont="1" applyFill="1"/>
    <xf numFmtId="4" fontId="7" fillId="8" borderId="0" xfId="0" applyNumberFormat="1" applyFont="1" applyFill="1"/>
    <xf numFmtId="0" fontId="3" fillId="8" borderId="0" xfId="0" applyFont="1" applyFill="1"/>
    <xf numFmtId="1" fontId="1" fillId="8" borderId="0" xfId="1" applyNumberFormat="1" applyFont="1" applyFill="1"/>
    <xf numFmtId="10" fontId="3" fillId="8" borderId="0" xfId="1" applyNumberFormat="1" applyFont="1" applyFill="1"/>
    <xf numFmtId="0" fontId="0" fillId="2" borderId="1" xfId="0" applyFill="1" applyBorder="1"/>
    <xf numFmtId="0" fontId="7" fillId="2" borderId="2" xfId="0" applyFont="1" applyFill="1" applyBorder="1"/>
    <xf numFmtId="2" fontId="5" fillId="2" borderId="2" xfId="0" applyNumberFormat="1" applyFont="1" applyFill="1" applyBorder="1"/>
    <xf numFmtId="2" fontId="5" fillId="2" borderId="3" xfId="0" applyNumberFormat="1" applyFont="1" applyFill="1" applyBorder="1"/>
    <xf numFmtId="0" fontId="8" fillId="7" borderId="0" xfId="0" applyFont="1" applyFill="1" applyAlignment="1">
      <alignment horizontal="right" vertical="center"/>
    </xf>
    <xf numFmtId="0" fontId="3" fillId="7" borderId="0" xfId="0" applyFont="1" applyFill="1"/>
    <xf numFmtId="9" fontId="0" fillId="7" borderId="0" xfId="1" applyFont="1" applyFill="1"/>
    <xf numFmtId="4" fontId="0" fillId="8" borderId="0" xfId="0" applyNumberFormat="1" applyFill="1"/>
    <xf numFmtId="9" fontId="0" fillId="9" borderId="0" xfId="1" applyFont="1" applyFill="1"/>
    <xf numFmtId="9" fontId="3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4" fillId="2" borderId="8" xfId="0" quotePrefix="1" applyNumberFormat="1" applyFont="1" applyFill="1" applyBorder="1"/>
    <xf numFmtId="10" fontId="0" fillId="2" borderId="7" xfId="0" applyNumberFormat="1" applyFill="1" applyBorder="1"/>
    <xf numFmtId="4" fontId="10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3" fillId="2" borderId="0" xfId="1" applyNumberFormat="1" applyFont="1" applyFill="1"/>
    <xf numFmtId="1" fontId="1" fillId="2" borderId="0" xfId="1" applyNumberFormat="1" applyFont="1" applyFill="1"/>
    <xf numFmtId="165" fontId="0" fillId="10" borderId="11" xfId="1" applyNumberFormat="1" applyFont="1" applyFill="1" applyBorder="1"/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9" fontId="0" fillId="2" borderId="0" xfId="1" applyFont="1" applyFill="1"/>
    <xf numFmtId="4" fontId="0" fillId="8" borderId="0" xfId="0" applyNumberFormat="1" applyFont="1" applyFill="1"/>
    <xf numFmtId="3" fontId="0" fillId="5" borderId="0" xfId="0" applyNumberFormat="1" applyFont="1" applyFill="1"/>
    <xf numFmtId="3" fontId="0" fillId="5" borderId="0" xfId="0" applyNumberFormat="1" applyFill="1"/>
    <xf numFmtId="165" fontId="0" fillId="7" borderId="0" xfId="1" applyNumberFormat="1" applyFont="1" applyFill="1"/>
  </cellXfs>
  <cellStyles count="3">
    <cellStyle name="Prozent" xfId="1" builtinId="5"/>
    <cellStyle name="Prozent 2" xfId="2"/>
    <cellStyle name="Standard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99"/>
      <color rgb="FFFFCC66"/>
      <color rgb="FFFFEB7D"/>
      <color rgb="FF009900"/>
      <color rgb="FFCC99FF"/>
      <color rgb="FFCCCCFF"/>
      <color rgb="FF9966FF"/>
      <color rgb="FF9900CC"/>
      <color rgb="FFFFD802"/>
      <color rgb="FFFFF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72"/>
  <sheetViews>
    <sheetView tabSelected="1" topLeftCell="A25" zoomScale="90" zoomScaleNormal="90" workbookViewId="0">
      <selection activeCell="C49" sqref="C49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5" width="10.625" style="1"/>
    <col min="16" max="16" width="12" style="1" bestFit="1" customWidth="1"/>
    <col min="17" max="18" width="10.625" style="1" customWidth="1"/>
    <col min="19" max="16384" width="10.625" style="1"/>
  </cols>
  <sheetData>
    <row r="2" spans="1:28" ht="26.25" x14ac:dyDescent="0.4">
      <c r="B2" s="37" t="s">
        <v>12</v>
      </c>
    </row>
    <row r="4" spans="1:28" x14ac:dyDescent="0.25">
      <c r="B4" s="27" t="s">
        <v>39</v>
      </c>
      <c r="L4" s="31"/>
      <c r="M4" s="31"/>
      <c r="N4" s="31"/>
      <c r="O4" s="31"/>
      <c r="P4" s="31"/>
      <c r="Q4" s="31"/>
      <c r="R4" s="31"/>
      <c r="S4" s="31"/>
    </row>
    <row r="5" spans="1:28" x14ac:dyDescent="0.25">
      <c r="L5" s="31"/>
      <c r="M5" s="31"/>
      <c r="N5" s="31"/>
      <c r="O5" s="31"/>
      <c r="P5" s="31"/>
      <c r="Q5" s="31"/>
      <c r="R5" s="31"/>
      <c r="S5" s="31"/>
    </row>
    <row r="6" spans="1:28" x14ac:dyDescent="0.25">
      <c r="B6" s="1" t="s">
        <v>35</v>
      </c>
      <c r="L6" s="31"/>
      <c r="M6" s="31"/>
      <c r="N6" s="31"/>
      <c r="O6" s="31"/>
      <c r="P6" s="31"/>
      <c r="Q6" s="31"/>
      <c r="R6" s="31"/>
      <c r="S6" s="31"/>
    </row>
    <row r="9" spans="1:28" s="8" customFormat="1" x14ac:dyDescent="0.25">
      <c r="H9" s="9" t="s">
        <v>11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/>
      <c r="D10" s="11"/>
      <c r="E10" s="11">
        <v>2019</v>
      </c>
      <c r="F10" s="11">
        <v>2020</v>
      </c>
      <c r="G10" s="11">
        <v>2021</v>
      </c>
      <c r="H10" s="64">
        <v>2022</v>
      </c>
      <c r="I10" s="64">
        <v>2023</v>
      </c>
      <c r="J10" s="64">
        <v>2024</v>
      </c>
      <c r="K10" s="64">
        <v>2025</v>
      </c>
      <c r="L10" s="64">
        <v>2026</v>
      </c>
      <c r="M10" s="64">
        <v>2027</v>
      </c>
      <c r="N10" s="64">
        <v>2028</v>
      </c>
      <c r="O10" s="64">
        <v>2029</v>
      </c>
      <c r="P10" s="64">
        <v>2030</v>
      </c>
      <c r="Q10" s="64">
        <v>2031</v>
      </c>
      <c r="R10" s="63" t="s">
        <v>34</v>
      </c>
    </row>
    <row r="11" spans="1:28" x14ac:dyDescent="0.25">
      <c r="A11" s="5"/>
      <c r="B11" s="4" t="s">
        <v>4</v>
      </c>
      <c r="C11" s="85"/>
      <c r="D11" s="85"/>
      <c r="E11" s="85">
        <v>96.665999999999997</v>
      </c>
      <c r="F11" s="85">
        <v>264.74799999999999</v>
      </c>
      <c r="G11" s="85">
        <v>592.04900000000009</v>
      </c>
      <c r="H11" s="14">
        <v>1203.53</v>
      </c>
      <c r="I11" s="14">
        <v>1998.9699999999998</v>
      </c>
      <c r="J11" s="14">
        <v>3093.1000000000004</v>
      </c>
      <c r="K11" s="14">
        <f t="shared" ref="K11:R11" si="0">J11*(1+K12)</f>
        <v>4330.34</v>
      </c>
      <c r="L11" s="14">
        <f t="shared" si="0"/>
        <v>6062.4759999999997</v>
      </c>
      <c r="M11" s="14">
        <f t="shared" si="0"/>
        <v>8487.4663999999993</v>
      </c>
      <c r="N11" s="14">
        <f t="shared" si="0"/>
        <v>11882.452959999999</v>
      </c>
      <c r="O11" s="14">
        <f t="shared" si="0"/>
        <v>16635.434143999999</v>
      </c>
      <c r="P11" s="14">
        <f t="shared" si="0"/>
        <v>23289.607801599996</v>
      </c>
      <c r="Q11" s="14">
        <f t="shared" si="0"/>
        <v>32605.45092223999</v>
      </c>
      <c r="R11" s="14">
        <f t="shared" si="0"/>
        <v>35213.886996019195</v>
      </c>
    </row>
    <row r="12" spans="1:28" x14ac:dyDescent="0.25">
      <c r="A12" s="5"/>
      <c r="B12" s="4" t="s">
        <v>1</v>
      </c>
      <c r="C12" s="12"/>
      <c r="D12" s="12"/>
      <c r="E12" s="12"/>
      <c r="F12" s="12">
        <f t="shared" ref="F12:J12" si="1">F11/E11-1</f>
        <v>1.7387913020089796</v>
      </c>
      <c r="G12" s="12">
        <f t="shared" si="1"/>
        <v>1.2362737395561068</v>
      </c>
      <c r="H12" s="65">
        <f t="shared" si="1"/>
        <v>1.0328216076709862</v>
      </c>
      <c r="I12" s="65">
        <f t="shared" si="1"/>
        <v>0.66092245311708053</v>
      </c>
      <c r="J12" s="65">
        <f t="shared" si="1"/>
        <v>0.54734688364507744</v>
      </c>
      <c r="K12" s="65">
        <v>0.4</v>
      </c>
      <c r="L12" s="65">
        <v>0.4</v>
      </c>
      <c r="M12" s="65">
        <v>0.4</v>
      </c>
      <c r="N12" s="65">
        <v>0.4</v>
      </c>
      <c r="O12" s="65">
        <v>0.4</v>
      </c>
      <c r="P12" s="65">
        <v>0.4</v>
      </c>
      <c r="Q12" s="65">
        <v>0.4</v>
      </c>
      <c r="R12" s="15">
        <v>0.08</v>
      </c>
    </row>
    <row r="13" spans="1:28" ht="15.95" customHeight="1" x14ac:dyDescent="0.25">
      <c r="A13" s="5"/>
      <c r="B13" s="4" t="s">
        <v>17</v>
      </c>
      <c r="C13" s="12"/>
      <c r="D13" s="12"/>
      <c r="E13" s="12">
        <f>E14/E11</f>
        <v>-1.9186166801150353</v>
      </c>
      <c r="F13" s="12">
        <f t="shared" ref="F13:G13" si="2">F14/F11</f>
        <v>-1.3525616812969317</v>
      </c>
      <c r="G13" s="12">
        <f t="shared" si="2"/>
        <v>-0.91873645593523501</v>
      </c>
      <c r="H13" s="87">
        <f>H14/H11</f>
        <v>-3.9199999999999999E-2</v>
      </c>
      <c r="I13" s="87">
        <f t="shared" ref="I13:J13" si="3">I14/I11</f>
        <v>1.8999999999999998E-3</v>
      </c>
      <c r="J13" s="87">
        <f t="shared" si="3"/>
        <v>3.9399999999999998E-2</v>
      </c>
      <c r="K13" s="87">
        <v>-0.03</v>
      </c>
      <c r="L13" s="87">
        <v>0.08</v>
      </c>
      <c r="M13" s="87">
        <v>0.09</v>
      </c>
      <c r="N13" s="87">
        <v>0.1</v>
      </c>
      <c r="O13" s="87">
        <v>0.15</v>
      </c>
      <c r="P13" s="87">
        <v>0.18</v>
      </c>
      <c r="Q13" s="87">
        <v>0.21</v>
      </c>
      <c r="R13" s="87">
        <v>0.26</v>
      </c>
    </row>
    <row r="14" spans="1:28" ht="17.100000000000001" customHeight="1" x14ac:dyDescent="0.25">
      <c r="A14" s="5"/>
      <c r="B14" s="4" t="s">
        <v>18</v>
      </c>
      <c r="C14" s="85"/>
      <c r="D14" s="85"/>
      <c r="E14" s="85">
        <v>-185.465</v>
      </c>
      <c r="F14" s="85">
        <v>-358.08800000000002</v>
      </c>
      <c r="G14" s="85">
        <v>-543.93700000000001</v>
      </c>
      <c r="H14" s="14">
        <v>-47.178376</v>
      </c>
      <c r="I14" s="14">
        <v>3.7980429999999994</v>
      </c>
      <c r="J14" s="14">
        <v>121.86814000000001</v>
      </c>
      <c r="K14" s="14">
        <f>K11*K13</f>
        <v>-129.9102</v>
      </c>
      <c r="L14" s="14">
        <f t="shared" ref="L14:R14" si="4">L11*L13</f>
        <v>484.99807999999996</v>
      </c>
      <c r="M14" s="14">
        <f t="shared" si="4"/>
        <v>763.8719759999999</v>
      </c>
      <c r="N14" s="14">
        <f t="shared" si="4"/>
        <v>1188.2452959999998</v>
      </c>
      <c r="O14" s="14">
        <f>O11*O13</f>
        <v>2495.3151215999997</v>
      </c>
      <c r="P14" s="14">
        <f t="shared" si="4"/>
        <v>4192.129404287999</v>
      </c>
      <c r="Q14" s="14">
        <f t="shared" si="4"/>
        <v>6847.1446936703978</v>
      </c>
      <c r="R14" s="14">
        <f t="shared" si="4"/>
        <v>9155.6106189649909</v>
      </c>
    </row>
    <row r="15" spans="1:28" ht="16.5" thickBot="1" x14ac:dyDescent="0.3">
      <c r="A15" s="13">
        <v>0.25</v>
      </c>
      <c r="B15" s="4" t="s">
        <v>30</v>
      </c>
      <c r="C15" s="86"/>
      <c r="D15" s="85"/>
      <c r="E15" s="85">
        <v>-178.02799999999999</v>
      </c>
      <c r="F15" s="85">
        <v>-348.53500000000003</v>
      </c>
      <c r="G15" s="85">
        <v>-539.10199999999998</v>
      </c>
      <c r="H15" s="14">
        <v>-707.07387500000004</v>
      </c>
      <c r="I15" s="14">
        <v>-665.65701000000001</v>
      </c>
      <c r="J15" s="14">
        <v>-843.17906000000005</v>
      </c>
      <c r="K15" s="14">
        <f t="shared" ref="K15:Q15" si="5">K14*(1-$A$15)</f>
        <v>-97.432649999999995</v>
      </c>
      <c r="L15" s="14">
        <f t="shared" si="5"/>
        <v>363.74856</v>
      </c>
      <c r="M15" s="14">
        <f t="shared" si="5"/>
        <v>572.90398199999993</v>
      </c>
      <c r="N15" s="14">
        <f t="shared" si="5"/>
        <v>891.18397199999981</v>
      </c>
      <c r="O15" s="14">
        <f t="shared" si="5"/>
        <v>1871.4863411999997</v>
      </c>
      <c r="P15" s="14">
        <f t="shared" si="5"/>
        <v>3144.097053215999</v>
      </c>
      <c r="Q15" s="14">
        <f t="shared" si="5"/>
        <v>5135.3585202527984</v>
      </c>
      <c r="R15" s="14">
        <f>R14*(1-$A$15)</f>
        <v>6866.7079642237431</v>
      </c>
    </row>
    <row r="16" spans="1:28" ht="32.25" thickBot="1" x14ac:dyDescent="0.3">
      <c r="A16" s="16" t="s">
        <v>6</v>
      </c>
      <c r="B16" s="17"/>
      <c r="C16" s="18"/>
      <c r="D16" s="18"/>
      <c r="E16" s="19"/>
      <c r="F16" s="19">
        <f t="shared" ref="F16:G16" si="6">F15/F14</f>
        <v>0.97332220012957704</v>
      </c>
      <c r="G16" s="19">
        <f t="shared" si="6"/>
        <v>0.99111110294023019</v>
      </c>
      <c r="H16" s="19"/>
      <c r="I16" s="19"/>
      <c r="J16" s="19"/>
      <c r="K16" s="19"/>
    </row>
    <row r="17" spans="1:18" x14ac:dyDescent="0.25">
      <c r="A17" s="2"/>
      <c r="G17" s="6"/>
      <c r="H17" s="6"/>
      <c r="I17" s="6"/>
      <c r="J17" s="6"/>
      <c r="K17" s="6"/>
      <c r="L17" s="6"/>
      <c r="M17" s="6"/>
      <c r="N17" s="6"/>
      <c r="O17" s="6"/>
      <c r="P17" s="3"/>
      <c r="Q17" s="3"/>
      <c r="R17" s="3"/>
    </row>
    <row r="18" spans="1:18" ht="16.5" thickBot="1" x14ac:dyDescent="0.3">
      <c r="A18" s="2"/>
      <c r="G18" s="6"/>
      <c r="I18" s="6"/>
      <c r="J18" s="6"/>
      <c r="K18" s="6"/>
      <c r="L18" s="6"/>
      <c r="M18" s="6"/>
      <c r="N18" s="6"/>
      <c r="O18" s="6"/>
      <c r="P18" s="3"/>
      <c r="Q18" s="3"/>
      <c r="R18" s="3"/>
    </row>
    <row r="19" spans="1:18" ht="16.5" thickBot="1" x14ac:dyDescent="0.3">
      <c r="A19" s="2"/>
      <c r="F19" s="59" t="s">
        <v>14</v>
      </c>
      <c r="G19" s="60"/>
      <c r="H19" s="61">
        <f>H15/(1+$C$55)</f>
        <v>-631.31595982142858</v>
      </c>
      <c r="I19" s="61">
        <f>I15/(1+$C$55)^2</f>
        <v>-530.65769292091829</v>
      </c>
      <c r="J19" s="61">
        <f>J15/(1+$C$55)^3</f>
        <v>-600.1582002778789</v>
      </c>
      <c r="K19" s="61">
        <f>K15/(1+$C$55)^4</f>
        <v>-61.920210501890473</v>
      </c>
      <c r="L19" s="61">
        <f>L15/(1+$C$55)^5</f>
        <v>206.40070167296824</v>
      </c>
      <c r="M19" s="61">
        <f>M15/(1+$C$55)^6</f>
        <v>290.25098672761152</v>
      </c>
      <c r="N19" s="61">
        <f>N15/(1+$C$55)^7</f>
        <v>403.12637045501594</v>
      </c>
      <c r="O19" s="61">
        <f>O15/(1+$C$55)^8</f>
        <v>755.86194460315483</v>
      </c>
      <c r="P19" s="61">
        <f>P15/(1+$C$55)^9</f>
        <v>1133.792916904732</v>
      </c>
      <c r="Q19" s="61">
        <f>Q15/(1+$C$55)^10</f>
        <v>1653.4480038194008</v>
      </c>
      <c r="R19" s="62">
        <f>(R15/(C55-R12))/(1+C55)^10</f>
        <v>55272.404699105704</v>
      </c>
    </row>
    <row r="20" spans="1:18" x14ac:dyDescent="0.25">
      <c r="A20" s="2"/>
      <c r="C20" s="1" t="s">
        <v>38</v>
      </c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C21" s="1" t="s">
        <v>31</v>
      </c>
      <c r="P21" s="3"/>
      <c r="Q21" s="3"/>
      <c r="R21" s="3"/>
    </row>
    <row r="22" spans="1:18" ht="16.5" thickBot="1" x14ac:dyDescent="0.3">
      <c r="P22" s="3"/>
      <c r="Q22" s="3"/>
      <c r="R22" s="3"/>
    </row>
    <row r="23" spans="1:18" x14ac:dyDescent="0.25">
      <c r="A23" s="38" t="s">
        <v>27</v>
      </c>
      <c r="B23" s="39"/>
      <c r="C23" s="39"/>
      <c r="D23" s="40"/>
      <c r="E23" s="28"/>
      <c r="F23" s="39"/>
      <c r="G23" s="28"/>
      <c r="H23" s="28"/>
      <c r="I23" s="28"/>
      <c r="J23" s="29"/>
    </row>
    <row r="24" spans="1:18" x14ac:dyDescent="0.25">
      <c r="A24" s="41"/>
      <c r="B24" s="42"/>
      <c r="C24" s="42"/>
      <c r="D24" s="43"/>
      <c r="E24" s="42"/>
      <c r="F24" s="42"/>
      <c r="G24" s="31"/>
      <c r="H24" s="31"/>
      <c r="I24" s="31"/>
      <c r="J24" s="32"/>
    </row>
    <row r="25" spans="1:18" x14ac:dyDescent="0.25">
      <c r="A25" s="41" t="s">
        <v>7</v>
      </c>
      <c r="B25" s="42" t="s">
        <v>37</v>
      </c>
      <c r="C25" s="42"/>
      <c r="D25" s="44">
        <v>0.09</v>
      </c>
      <c r="E25" s="31"/>
      <c r="F25" s="42"/>
      <c r="G25" s="31"/>
      <c r="H25" s="31"/>
      <c r="I25" s="31"/>
      <c r="J25" s="32"/>
    </row>
    <row r="26" spans="1:18" x14ac:dyDescent="0.25">
      <c r="A26" s="41"/>
      <c r="B26" s="42" t="s">
        <v>33</v>
      </c>
      <c r="C26" s="42"/>
      <c r="D26" s="44">
        <v>0.03</v>
      </c>
      <c r="E26" s="31"/>
      <c r="F26" s="42"/>
      <c r="G26" s="31"/>
      <c r="H26" s="31"/>
      <c r="I26" s="31"/>
      <c r="J26" s="32"/>
    </row>
    <row r="27" spans="1:18" x14ac:dyDescent="0.25">
      <c r="A27" s="41"/>
      <c r="B27" s="42"/>
      <c r="C27" s="42"/>
      <c r="D27" s="44"/>
      <c r="E27" s="31"/>
      <c r="F27" s="42"/>
      <c r="G27" s="31"/>
      <c r="H27" s="31"/>
      <c r="I27" s="31"/>
      <c r="J27" s="32"/>
    </row>
    <row r="28" spans="1:18" x14ac:dyDescent="0.25">
      <c r="A28" s="41"/>
      <c r="B28" s="42"/>
      <c r="C28" s="42"/>
      <c r="D28" s="45"/>
      <c r="E28" s="31"/>
      <c r="F28" s="42"/>
      <c r="G28" s="31"/>
      <c r="H28" s="31"/>
      <c r="I28" s="31"/>
      <c r="J28" s="32"/>
    </row>
    <row r="29" spans="1:18" x14ac:dyDescent="0.25">
      <c r="A29" s="41"/>
      <c r="B29" s="42"/>
      <c r="C29" s="42"/>
      <c r="D29" s="45"/>
      <c r="E29" s="31"/>
      <c r="F29" s="42"/>
      <c r="G29" s="31"/>
      <c r="H29" s="31"/>
      <c r="I29" s="31"/>
      <c r="J29" s="32"/>
    </row>
    <row r="30" spans="1:18" x14ac:dyDescent="0.25">
      <c r="A30" s="41"/>
      <c r="B30" s="42" t="s">
        <v>8</v>
      </c>
      <c r="C30" s="42"/>
      <c r="D30" s="46">
        <f>D25+D26+D27</f>
        <v>0.12</v>
      </c>
      <c r="E30" s="31"/>
      <c r="F30" s="42"/>
      <c r="G30" s="31"/>
      <c r="H30" s="31"/>
      <c r="I30" s="31"/>
      <c r="J30" s="32"/>
    </row>
    <row r="31" spans="1:18" x14ac:dyDescent="0.25">
      <c r="A31" s="41"/>
      <c r="B31" s="42"/>
      <c r="C31" s="42"/>
      <c r="D31" s="43"/>
      <c r="E31" s="31"/>
      <c r="F31" s="42"/>
      <c r="G31" s="31"/>
      <c r="H31" s="31"/>
      <c r="I31" s="31"/>
      <c r="J31" s="32"/>
    </row>
    <row r="32" spans="1:18" x14ac:dyDescent="0.25">
      <c r="A32" s="30"/>
      <c r="B32" s="31"/>
      <c r="C32" s="47"/>
      <c r="D32" s="31"/>
      <c r="E32" s="42"/>
      <c r="F32" s="42"/>
      <c r="G32" s="31"/>
      <c r="H32" s="31"/>
      <c r="I32" s="31"/>
      <c r="J32" s="32"/>
    </row>
    <row r="33" spans="1:10" x14ac:dyDescent="0.25">
      <c r="A33" s="30"/>
      <c r="B33" s="31"/>
      <c r="C33" s="31"/>
      <c r="D33" s="31"/>
      <c r="E33" s="31"/>
      <c r="F33" s="31"/>
      <c r="G33" s="31"/>
      <c r="H33" s="31"/>
      <c r="I33" s="31"/>
      <c r="J33" s="32"/>
    </row>
    <row r="34" spans="1:10" x14ac:dyDescent="0.25">
      <c r="A34" s="41" t="s">
        <v>9</v>
      </c>
      <c r="B34" s="42"/>
      <c r="C34" s="48"/>
      <c r="D34" s="33">
        <v>0</v>
      </c>
      <c r="E34" s="31"/>
      <c r="F34" s="31"/>
      <c r="G34" s="31"/>
      <c r="H34" s="31"/>
      <c r="I34" s="31"/>
      <c r="J34" s="32"/>
    </row>
    <row r="35" spans="1:10" ht="15.75" hidden="1" customHeight="1" x14ac:dyDescent="0.25">
      <c r="A35" s="30"/>
      <c r="B35" s="31"/>
      <c r="C35" s="31"/>
      <c r="D35" s="31"/>
      <c r="E35" s="31"/>
      <c r="F35" s="31"/>
      <c r="G35" s="31"/>
      <c r="H35" s="31"/>
      <c r="I35" s="31"/>
      <c r="J35" s="32"/>
    </row>
    <row r="36" spans="1:10" ht="15.75" hidden="1" customHeight="1" x14ac:dyDescent="0.25">
      <c r="A36" s="30"/>
      <c r="B36" s="31" t="s">
        <v>10</v>
      </c>
      <c r="C36" s="31"/>
      <c r="D36" s="49">
        <v>0.08</v>
      </c>
      <c r="E36" s="31"/>
      <c r="F36" s="31"/>
      <c r="G36" s="31"/>
      <c r="H36" s="31"/>
      <c r="I36" s="31"/>
      <c r="J36" s="32"/>
    </row>
    <row r="37" spans="1:10" ht="15.75" hidden="1" customHeight="1" x14ac:dyDescent="0.25">
      <c r="A37" s="30"/>
      <c r="B37" s="31"/>
      <c r="C37" s="31"/>
      <c r="D37" s="31"/>
      <c r="E37" s="31"/>
      <c r="F37" s="31"/>
      <c r="G37" s="31"/>
      <c r="H37" s="31"/>
      <c r="I37" s="31"/>
      <c r="J37" s="32"/>
    </row>
    <row r="38" spans="1:10" ht="15.75" hidden="1" customHeight="1" x14ac:dyDescent="0.25">
      <c r="A38" s="30"/>
      <c r="B38" s="31"/>
      <c r="C38" s="31"/>
      <c r="D38" s="31"/>
      <c r="E38" s="31"/>
      <c r="F38" s="31"/>
      <c r="G38" s="31"/>
      <c r="H38" s="31"/>
      <c r="I38" s="31"/>
      <c r="J38" s="32"/>
    </row>
    <row r="39" spans="1:10" ht="15.75" hidden="1" customHeight="1" x14ac:dyDescent="0.25">
      <c r="A39" s="30"/>
      <c r="B39" s="31"/>
      <c r="C39" s="31"/>
      <c r="D39" s="31"/>
      <c r="E39" s="31"/>
      <c r="F39" s="31"/>
      <c r="G39" s="31"/>
      <c r="H39" s="31"/>
      <c r="I39" s="31"/>
      <c r="J39" s="32"/>
    </row>
    <row r="40" spans="1:10" hidden="1" x14ac:dyDescent="0.25">
      <c r="A40" s="30"/>
      <c r="B40" s="50"/>
      <c r="C40" s="50">
        <v>0.12</v>
      </c>
      <c r="D40" s="50" t="e">
        <f>((NPV(C40,$H$15:$R$15)+(#REF!*(1+#REF!)/(C40-#REF!))/(1+C40)^(2040-2020))/$D$50)/$C$51-1</f>
        <v>#REF!</v>
      </c>
      <c r="E40" s="31"/>
      <c r="F40" s="31"/>
      <c r="G40" s="31"/>
      <c r="H40" s="31"/>
      <c r="I40" s="31"/>
      <c r="J40" s="32"/>
    </row>
    <row r="41" spans="1:10" hidden="1" x14ac:dyDescent="0.25">
      <c r="A41" s="30"/>
      <c r="B41" s="50"/>
      <c r="C41" s="50">
        <v>0.14000000000000001</v>
      </c>
      <c r="D41" s="50" t="e">
        <f>((NPV(C41,$H$15:$R$15)+(#REF!*(1+#REF!)/(C41-#REF!))/(1+C41)^(2040-2020))/$D$50)/$C$51-1</f>
        <v>#REF!</v>
      </c>
      <c r="E41" s="31"/>
      <c r="F41" s="31"/>
      <c r="G41" s="31"/>
      <c r="H41" s="31"/>
      <c r="I41" s="31"/>
      <c r="J41" s="32"/>
    </row>
    <row r="42" spans="1:10" hidden="1" x14ac:dyDescent="0.25">
      <c r="A42" s="30"/>
      <c r="B42" s="50"/>
      <c r="C42" s="50">
        <v>0.16</v>
      </c>
      <c r="D42" s="50" t="e">
        <f>((NPV(C42,$H$15:$R$15)+(#REF!*(1+#REF!)/(C42-#REF!))/(1+C42)^(2040-2020))/$D$50)/$C$51-1</f>
        <v>#REF!</v>
      </c>
      <c r="E42" s="31"/>
      <c r="F42" s="31"/>
      <c r="G42" s="31"/>
      <c r="H42" s="31"/>
      <c r="I42" s="31"/>
      <c r="J42" s="32"/>
    </row>
    <row r="43" spans="1:10" hidden="1" x14ac:dyDescent="0.25">
      <c r="A43" s="30"/>
      <c r="B43" s="50"/>
      <c r="C43" s="50">
        <v>0.18</v>
      </c>
      <c r="D43" s="50" t="e">
        <f>((NPV(C43,$H$15:$R$15)+(#REF!*(1+#REF!)/(C43-#REF!))/(1+C43)^(2040-2020))/$D$50)/$C$51-1</f>
        <v>#REF!</v>
      </c>
      <c r="E43" s="31"/>
      <c r="F43" s="31"/>
      <c r="G43" s="31"/>
      <c r="H43" s="31"/>
      <c r="I43" s="31"/>
      <c r="J43" s="32"/>
    </row>
    <row r="44" spans="1:10" hidden="1" x14ac:dyDescent="0.25">
      <c r="A44" s="30"/>
      <c r="B44" s="50"/>
      <c r="C44" s="50">
        <v>0.2</v>
      </c>
      <c r="D44" s="50" t="e">
        <f>((NPV(C44,$H$15:$R$15)+(#REF!*(1+#REF!)/(C44-#REF!))/(1+C44)^(2040-2020))/$D$50)/$C$51-1</f>
        <v>#REF!</v>
      </c>
      <c r="E44" s="31"/>
      <c r="F44" s="31"/>
      <c r="G44" s="31"/>
      <c r="H44" s="31"/>
      <c r="I44" s="31"/>
      <c r="J44" s="32"/>
    </row>
    <row r="45" spans="1:10" x14ac:dyDescent="0.25">
      <c r="A45" s="30"/>
      <c r="B45" s="31"/>
      <c r="C45" s="31"/>
      <c r="D45" s="31"/>
      <c r="E45" s="31"/>
      <c r="F45" s="31"/>
      <c r="G45" s="31"/>
      <c r="H45" s="31"/>
      <c r="I45" s="31"/>
      <c r="J45" s="32"/>
    </row>
    <row r="46" spans="1:10" ht="16.5" thickBot="1" x14ac:dyDescent="0.3">
      <c r="A46" s="34"/>
      <c r="B46" s="35" t="s">
        <v>28</v>
      </c>
      <c r="C46" s="35"/>
      <c r="D46" s="51">
        <f>D30+D34</f>
        <v>0.12</v>
      </c>
      <c r="E46" s="35"/>
      <c r="F46" s="35"/>
      <c r="G46" s="35"/>
      <c r="H46" s="35"/>
      <c r="I46" s="35"/>
      <c r="J46" s="36"/>
    </row>
    <row r="48" spans="1:10" x14ac:dyDescent="0.25">
      <c r="A48" s="20"/>
      <c r="B48" s="21"/>
      <c r="C48" s="22">
        <v>44554</v>
      </c>
      <c r="D48" s="23" t="s">
        <v>3</v>
      </c>
      <c r="E48" s="24"/>
      <c r="F48" s="25"/>
      <c r="G48" s="26"/>
      <c r="H48" s="26"/>
      <c r="I48" s="26"/>
    </row>
    <row r="49" spans="1:10" x14ac:dyDescent="0.25">
      <c r="A49" s="52" t="s">
        <v>0</v>
      </c>
      <c r="B49" s="53" t="s">
        <v>5</v>
      </c>
      <c r="C49" s="84">
        <f>C50*C51</f>
        <v>106966.08600000001</v>
      </c>
      <c r="D49" s="55">
        <f>SUM(H19:R19)</f>
        <v>57891.233559766471</v>
      </c>
      <c r="E49" s="53" t="s">
        <v>32</v>
      </c>
    </row>
    <row r="50" spans="1:10" x14ac:dyDescent="0.25">
      <c r="A50" s="52"/>
      <c r="B50" s="53" t="s">
        <v>13</v>
      </c>
      <c r="C50" s="54">
        <v>306.3</v>
      </c>
      <c r="D50" s="54">
        <f>C50</f>
        <v>306.3</v>
      </c>
      <c r="E50" s="53"/>
    </row>
    <row r="51" spans="1:10" x14ac:dyDescent="0.25">
      <c r="A51" s="52"/>
      <c r="B51" s="53" t="s">
        <v>15</v>
      </c>
      <c r="C51" s="66">
        <v>349.22</v>
      </c>
      <c r="D51" s="66">
        <f>D49/(D50)</f>
        <v>189.00174195157189</v>
      </c>
      <c r="E51" s="53" t="s">
        <v>32</v>
      </c>
    </row>
    <row r="52" spans="1:10" x14ac:dyDescent="0.25">
      <c r="A52" s="52"/>
      <c r="B52" s="53" t="s">
        <v>2</v>
      </c>
      <c r="C52" s="53"/>
      <c r="D52" s="67">
        <f>IF(C51/D51-1&gt;0,0,C51/D51-1)</f>
        <v>0</v>
      </c>
      <c r="E52" s="53"/>
    </row>
    <row r="53" spans="1:10" x14ac:dyDescent="0.25">
      <c r="A53" s="52"/>
      <c r="B53" s="53" t="s">
        <v>16</v>
      </c>
      <c r="C53" s="53"/>
      <c r="D53" s="68">
        <f>IF(C51/D51-1&lt;0,0,C51/D51-1)</f>
        <v>0.84770783800226046</v>
      </c>
      <c r="E53" s="53"/>
    </row>
    <row r="54" spans="1:10" x14ac:dyDescent="0.25">
      <c r="A54" s="53"/>
      <c r="B54" s="53"/>
      <c r="C54" s="53"/>
      <c r="D54" s="56"/>
      <c r="E54" s="56"/>
    </row>
    <row r="55" spans="1:10" x14ac:dyDescent="0.25">
      <c r="A55" s="56" t="s">
        <v>27</v>
      </c>
      <c r="B55" s="53"/>
      <c r="C55" s="58">
        <f>D46</f>
        <v>0.12</v>
      </c>
      <c r="D55" s="57"/>
      <c r="E55" s="53"/>
      <c r="J55" s="83"/>
    </row>
    <row r="56" spans="1:10" ht="16.5" thickBot="1" x14ac:dyDescent="0.3">
      <c r="A56" s="27"/>
      <c r="C56" s="77"/>
      <c r="D56" s="78"/>
    </row>
    <row r="57" spans="1:10" x14ac:dyDescent="0.25">
      <c r="A57" s="69" t="s">
        <v>26</v>
      </c>
      <c r="B57" s="28"/>
      <c r="C57" s="80">
        <v>30</v>
      </c>
      <c r="D57" s="28"/>
      <c r="E57" s="29"/>
    </row>
    <row r="58" spans="1:10" x14ac:dyDescent="0.25">
      <c r="A58" s="30" t="s">
        <v>29</v>
      </c>
      <c r="B58" s="31"/>
      <c r="C58" s="81">
        <f>E60/R11</f>
        <v>5.8500000000000005</v>
      </c>
      <c r="D58" s="31"/>
      <c r="E58" s="32"/>
    </row>
    <row r="59" spans="1:10" x14ac:dyDescent="0.25">
      <c r="A59" s="30"/>
      <c r="B59" s="31"/>
      <c r="C59" s="81"/>
      <c r="D59" s="31"/>
      <c r="E59" s="32"/>
    </row>
    <row r="60" spans="1:10" x14ac:dyDescent="0.25">
      <c r="A60" s="30" t="s">
        <v>19</v>
      </c>
      <c r="B60" s="31"/>
      <c r="C60" s="81"/>
      <c r="D60" s="31"/>
      <c r="E60" s="70">
        <f>R15*C57</f>
        <v>206001.23892671231</v>
      </c>
    </row>
    <row r="61" spans="1:10" x14ac:dyDescent="0.25">
      <c r="A61" s="30"/>
      <c r="B61" s="31"/>
      <c r="C61" s="81"/>
      <c r="D61" s="31"/>
      <c r="E61" s="32"/>
    </row>
    <row r="62" spans="1:10" x14ac:dyDescent="0.25">
      <c r="A62" s="30" t="s">
        <v>20</v>
      </c>
      <c r="B62" s="31"/>
      <c r="C62" s="82">
        <v>0</v>
      </c>
      <c r="D62" s="31"/>
      <c r="E62" s="32"/>
    </row>
    <row r="63" spans="1:10" x14ac:dyDescent="0.25">
      <c r="A63" s="30"/>
      <c r="B63" s="31"/>
      <c r="C63" s="31"/>
      <c r="D63" s="31"/>
      <c r="E63" s="32"/>
    </row>
    <row r="64" spans="1:10" x14ac:dyDescent="0.25">
      <c r="A64" s="30" t="s">
        <v>21</v>
      </c>
      <c r="B64" s="31"/>
      <c r="C64" s="31"/>
      <c r="D64" s="31"/>
      <c r="E64" s="70">
        <f>SUM(H15:R15)*C62</f>
        <v>0</v>
      </c>
    </row>
    <row r="65" spans="1:5" x14ac:dyDescent="0.25">
      <c r="A65" s="30"/>
      <c r="B65" s="31"/>
      <c r="C65" s="31"/>
      <c r="D65" s="31"/>
      <c r="E65" s="71"/>
    </row>
    <row r="66" spans="1:5" x14ac:dyDescent="0.25">
      <c r="A66" s="72" t="s">
        <v>22</v>
      </c>
      <c r="B66" s="31"/>
      <c r="C66" s="31"/>
      <c r="D66" s="31"/>
      <c r="E66" s="73">
        <f>(E64*0.25)*-1</f>
        <v>0</v>
      </c>
    </row>
    <row r="67" spans="1:5" x14ac:dyDescent="0.25">
      <c r="A67" s="30"/>
      <c r="B67" s="31"/>
      <c r="C67" s="50"/>
      <c r="D67" s="50"/>
      <c r="E67" s="74"/>
    </row>
    <row r="68" spans="1:5" x14ac:dyDescent="0.25">
      <c r="A68" s="30" t="s">
        <v>23</v>
      </c>
      <c r="B68" s="31"/>
      <c r="C68" s="31"/>
      <c r="D68" s="31"/>
      <c r="E68" s="70">
        <f>SUM(E60:E66)</f>
        <v>206001.23892671231</v>
      </c>
    </row>
    <row r="69" spans="1:5" x14ac:dyDescent="0.25">
      <c r="A69" s="30"/>
      <c r="B69" s="31"/>
      <c r="C69" s="31"/>
      <c r="D69" s="31"/>
      <c r="E69" s="70"/>
    </row>
    <row r="70" spans="1:5" x14ac:dyDescent="0.25">
      <c r="A70" s="30" t="s">
        <v>24</v>
      </c>
      <c r="B70" s="31"/>
      <c r="C70" s="31"/>
      <c r="D70" s="31"/>
      <c r="E70" s="74">
        <f>E68/C49-1</f>
        <v>0.92585562985554404</v>
      </c>
    </row>
    <row r="71" spans="1:5" x14ac:dyDescent="0.25">
      <c r="A71" s="30"/>
      <c r="B71" s="31"/>
      <c r="C71" s="31"/>
      <c r="D71" s="31"/>
      <c r="E71" s="32"/>
    </row>
    <row r="72" spans="1:5" ht="16.5" thickBot="1" x14ac:dyDescent="0.3">
      <c r="A72" s="75" t="s">
        <v>25</v>
      </c>
      <c r="B72" s="76"/>
      <c r="C72" s="76"/>
      <c r="D72" s="76"/>
      <c r="E72" s="79">
        <f>(E68/C49)^(1/10)-1</f>
        <v>6.7732280262816635E-2</v>
      </c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L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72"/>
  <sheetViews>
    <sheetView topLeftCell="A25" zoomScale="90" zoomScaleNormal="90" workbookViewId="0">
      <selection activeCell="C49" sqref="C49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5" width="10.625" style="1"/>
    <col min="16" max="16" width="12" style="1" bestFit="1" customWidth="1"/>
    <col min="17" max="18" width="10.625" style="1" customWidth="1"/>
    <col min="19" max="16384" width="10.625" style="1"/>
  </cols>
  <sheetData>
    <row r="2" spans="1:28" ht="26.25" x14ac:dyDescent="0.4">
      <c r="B2" s="37" t="s">
        <v>12</v>
      </c>
    </row>
    <row r="4" spans="1:28" x14ac:dyDescent="0.25">
      <c r="B4" s="27" t="s">
        <v>36</v>
      </c>
      <c r="L4" s="31"/>
      <c r="M4" s="31"/>
      <c r="N4" s="31"/>
      <c r="O4" s="31"/>
      <c r="P4" s="31"/>
      <c r="Q4" s="31"/>
      <c r="R4" s="31"/>
      <c r="S4" s="31"/>
    </row>
    <row r="5" spans="1:28" x14ac:dyDescent="0.25">
      <c r="L5" s="31"/>
      <c r="M5" s="31"/>
      <c r="N5" s="31"/>
      <c r="O5" s="31"/>
      <c r="P5" s="31"/>
      <c r="Q5" s="31"/>
      <c r="R5" s="31"/>
      <c r="S5" s="31"/>
    </row>
    <row r="6" spans="1:28" x14ac:dyDescent="0.25">
      <c r="B6" s="1" t="s">
        <v>35</v>
      </c>
      <c r="L6" s="31"/>
      <c r="M6" s="31"/>
      <c r="N6" s="31"/>
      <c r="O6" s="31"/>
      <c r="P6" s="31"/>
      <c r="Q6" s="31"/>
      <c r="R6" s="31"/>
      <c r="S6" s="31"/>
    </row>
    <row r="9" spans="1:28" s="8" customFormat="1" x14ac:dyDescent="0.25">
      <c r="H9" s="9" t="s">
        <v>11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/>
      <c r="D10" s="11"/>
      <c r="E10" s="11">
        <v>2019</v>
      </c>
      <c r="F10" s="11">
        <v>2020</v>
      </c>
      <c r="G10" s="11">
        <v>2021</v>
      </c>
      <c r="H10" s="64">
        <v>2022</v>
      </c>
      <c r="I10" s="64">
        <v>2023</v>
      </c>
      <c r="J10" s="64">
        <v>2024</v>
      </c>
      <c r="K10" s="64">
        <v>2025</v>
      </c>
      <c r="L10" s="64">
        <v>2026</v>
      </c>
      <c r="M10" s="64">
        <v>2027</v>
      </c>
      <c r="N10" s="64">
        <v>2028</v>
      </c>
      <c r="O10" s="64">
        <v>2029</v>
      </c>
      <c r="P10" s="64">
        <v>2030</v>
      </c>
      <c r="Q10" s="64">
        <v>2031</v>
      </c>
      <c r="R10" s="63" t="s">
        <v>34</v>
      </c>
    </row>
    <row r="11" spans="1:28" x14ac:dyDescent="0.25">
      <c r="A11" s="5"/>
      <c r="B11" s="4" t="s">
        <v>4</v>
      </c>
      <c r="C11" s="85"/>
      <c r="D11" s="85"/>
      <c r="E11" s="85">
        <v>96.665999999999997</v>
      </c>
      <c r="F11" s="85">
        <v>264.74799999999999</v>
      </c>
      <c r="G11" s="85">
        <v>592.04900000000009</v>
      </c>
      <c r="H11" s="14">
        <v>1203.53</v>
      </c>
      <c r="I11" s="14">
        <v>1998.9699999999998</v>
      </c>
      <c r="J11" s="14">
        <v>3093.1000000000004</v>
      </c>
      <c r="K11" s="14">
        <f t="shared" ref="K11" si="0">J11*(1+K12)</f>
        <v>4794.3050000000003</v>
      </c>
      <c r="L11" s="14">
        <f t="shared" ref="L11:R11" si="1">K11*(1+L12)</f>
        <v>7431.1727500000006</v>
      </c>
      <c r="M11" s="14">
        <f t="shared" si="1"/>
        <v>11146.759125</v>
      </c>
      <c r="N11" s="14">
        <f t="shared" si="1"/>
        <v>16720.138687500003</v>
      </c>
      <c r="O11" s="14">
        <f t="shared" si="1"/>
        <v>24244.201096875004</v>
      </c>
      <c r="P11" s="14">
        <f t="shared" si="1"/>
        <v>35154.091590468757</v>
      </c>
      <c r="Q11" s="14">
        <f t="shared" si="1"/>
        <v>49215.728226656254</v>
      </c>
      <c r="R11" s="14">
        <f t="shared" si="1"/>
        <v>53645.14376705532</v>
      </c>
    </row>
    <row r="12" spans="1:28" x14ac:dyDescent="0.25">
      <c r="A12" s="5"/>
      <c r="B12" s="4" t="s">
        <v>1</v>
      </c>
      <c r="C12" s="12"/>
      <c r="D12" s="12"/>
      <c r="E12" s="12"/>
      <c r="F12" s="12">
        <f t="shared" ref="F12:H12" si="2">F11/E11-1</f>
        <v>1.7387913020089796</v>
      </c>
      <c r="G12" s="12">
        <f t="shared" si="2"/>
        <v>1.2362737395561068</v>
      </c>
      <c r="H12" s="65">
        <f t="shared" si="2"/>
        <v>1.0328216076709862</v>
      </c>
      <c r="I12" s="65">
        <f t="shared" ref="I12" si="3">I11/H11-1</f>
        <v>0.66092245311708053</v>
      </c>
      <c r="J12" s="65">
        <f t="shared" ref="J12" si="4">J11/I11-1</f>
        <v>0.54734688364507744</v>
      </c>
      <c r="K12" s="65">
        <v>0.55000000000000004</v>
      </c>
      <c r="L12" s="65">
        <v>0.55000000000000004</v>
      </c>
      <c r="M12" s="65">
        <v>0.5</v>
      </c>
      <c r="N12" s="65">
        <v>0.5</v>
      </c>
      <c r="O12" s="15">
        <v>0.45</v>
      </c>
      <c r="P12" s="15">
        <v>0.45</v>
      </c>
      <c r="Q12" s="15">
        <v>0.4</v>
      </c>
      <c r="R12" s="15">
        <v>0.09</v>
      </c>
    </row>
    <row r="13" spans="1:28" ht="15.95" customHeight="1" x14ac:dyDescent="0.25">
      <c r="A13" s="5"/>
      <c r="B13" s="4" t="s">
        <v>17</v>
      </c>
      <c r="C13" s="12"/>
      <c r="D13" s="12"/>
      <c r="E13" s="12">
        <f>E14/E11</f>
        <v>-1.9186166801150353</v>
      </c>
      <c r="F13" s="12">
        <f t="shared" ref="F13:G13" si="5">F14/F11</f>
        <v>-1.3525616812969317</v>
      </c>
      <c r="G13" s="12">
        <f t="shared" si="5"/>
        <v>-0.91873645593523501</v>
      </c>
      <c r="H13" s="87">
        <f>H14/H11</f>
        <v>-3.9199999999999999E-2</v>
      </c>
      <c r="I13" s="87">
        <f t="shared" ref="I13:J13" si="6">I14/I11</f>
        <v>1.8999999999999998E-3</v>
      </c>
      <c r="J13" s="87">
        <f t="shared" si="6"/>
        <v>3.9399999999999998E-2</v>
      </c>
      <c r="K13" s="87">
        <v>0.05</v>
      </c>
      <c r="L13" s="87">
        <v>9.5000000000000001E-2</v>
      </c>
      <c r="M13" s="87">
        <v>0.1</v>
      </c>
      <c r="N13" s="87">
        <v>0.12</v>
      </c>
      <c r="O13" s="87">
        <v>0.18</v>
      </c>
      <c r="P13" s="87">
        <v>0.2</v>
      </c>
      <c r="Q13" s="87">
        <v>0.23</v>
      </c>
      <c r="R13" s="87">
        <v>0.28000000000000003</v>
      </c>
    </row>
    <row r="14" spans="1:28" ht="17.100000000000001" customHeight="1" x14ac:dyDescent="0.25">
      <c r="A14" s="5"/>
      <c r="B14" s="4" t="s">
        <v>18</v>
      </c>
      <c r="C14" s="85"/>
      <c r="D14" s="85"/>
      <c r="E14" s="85">
        <v>-185.465</v>
      </c>
      <c r="F14" s="85">
        <v>-358.08800000000002</v>
      </c>
      <c r="G14" s="85">
        <v>-543.93700000000001</v>
      </c>
      <c r="H14" s="14">
        <v>-47.178376</v>
      </c>
      <c r="I14" s="14">
        <v>3.7980429999999994</v>
      </c>
      <c r="J14" s="14">
        <v>121.86814000000001</v>
      </c>
      <c r="K14" s="14">
        <f>K11*K13</f>
        <v>239.71525000000003</v>
      </c>
      <c r="L14" s="14">
        <f t="shared" ref="L14:R14" si="7">L11*L13</f>
        <v>705.96141125000008</v>
      </c>
      <c r="M14" s="14">
        <f t="shared" si="7"/>
        <v>1114.6759125000001</v>
      </c>
      <c r="N14" s="14">
        <f t="shared" si="7"/>
        <v>2006.4166425000003</v>
      </c>
      <c r="O14" s="14">
        <f>O11*O13</f>
        <v>4363.9561974375001</v>
      </c>
      <c r="P14" s="14">
        <f t="shared" si="7"/>
        <v>7030.8183180937522</v>
      </c>
      <c r="Q14" s="14">
        <f t="shared" si="7"/>
        <v>11319.617492130939</v>
      </c>
      <c r="R14" s="14">
        <f t="shared" si="7"/>
        <v>15020.640254775491</v>
      </c>
    </row>
    <row r="15" spans="1:28" ht="16.5" thickBot="1" x14ac:dyDescent="0.3">
      <c r="A15" s="13">
        <v>0.25</v>
      </c>
      <c r="B15" s="4" t="s">
        <v>30</v>
      </c>
      <c r="C15" s="86"/>
      <c r="D15" s="85"/>
      <c r="E15" s="85">
        <v>-178.02799999999999</v>
      </c>
      <c r="F15" s="85">
        <v>-348.53500000000003</v>
      </c>
      <c r="G15" s="85">
        <v>-539.10199999999998</v>
      </c>
      <c r="H15" s="14">
        <v>-707.07387500000004</v>
      </c>
      <c r="I15" s="14">
        <v>-665.65701000000001</v>
      </c>
      <c r="J15" s="14">
        <v>-843.17906000000005</v>
      </c>
      <c r="K15" s="14">
        <f>K11*0.0295</f>
        <v>141.43199749999999</v>
      </c>
      <c r="L15" s="14">
        <f t="shared" ref="L15:Q15" si="8">L14*(1-$A$15)</f>
        <v>529.47105843750001</v>
      </c>
      <c r="M15" s="14">
        <f t="shared" si="8"/>
        <v>836.00693437500013</v>
      </c>
      <c r="N15" s="14">
        <f t="shared" si="8"/>
        <v>1504.8124818750002</v>
      </c>
      <c r="O15" s="14">
        <f t="shared" si="8"/>
        <v>3272.9671480781253</v>
      </c>
      <c r="P15" s="14">
        <f t="shared" si="8"/>
        <v>5273.1137385703141</v>
      </c>
      <c r="Q15" s="14">
        <f t="shared" si="8"/>
        <v>8489.7131190982036</v>
      </c>
      <c r="R15" s="14">
        <f>R14*(1-$A$15)</f>
        <v>11265.480191081619</v>
      </c>
    </row>
    <row r="16" spans="1:28" ht="32.25" thickBot="1" x14ac:dyDescent="0.3">
      <c r="A16" s="16" t="s">
        <v>6</v>
      </c>
      <c r="B16" s="17"/>
      <c r="C16" s="18"/>
      <c r="D16" s="18"/>
      <c r="E16" s="19"/>
      <c r="F16" s="19">
        <f t="shared" ref="F16:G16" si="9">F15/F14</f>
        <v>0.97332220012957704</v>
      </c>
      <c r="G16" s="19">
        <f t="shared" si="9"/>
        <v>0.99111110294023019</v>
      </c>
      <c r="H16" s="19"/>
      <c r="I16" s="19"/>
      <c r="J16" s="19"/>
      <c r="K16" s="19"/>
    </row>
    <row r="17" spans="1:18" x14ac:dyDescent="0.25">
      <c r="A17" s="2"/>
      <c r="G17" s="6"/>
      <c r="H17" s="6"/>
      <c r="I17" s="6"/>
      <c r="J17" s="6"/>
      <c r="K17" s="6"/>
      <c r="L17" s="6"/>
      <c r="M17" s="6"/>
      <c r="N17" s="6"/>
      <c r="O17" s="6"/>
      <c r="P17" s="3"/>
      <c r="Q17" s="3"/>
      <c r="R17" s="3"/>
    </row>
    <row r="18" spans="1:18" ht="16.5" thickBot="1" x14ac:dyDescent="0.3">
      <c r="A18" s="2"/>
      <c r="G18" s="6"/>
      <c r="I18" s="6"/>
      <c r="J18" s="6"/>
      <c r="K18" s="6"/>
      <c r="L18" s="6"/>
      <c r="M18" s="6"/>
      <c r="N18" s="6"/>
      <c r="O18" s="6"/>
      <c r="P18" s="3"/>
      <c r="Q18" s="3"/>
      <c r="R18" s="3"/>
    </row>
    <row r="19" spans="1:18" ht="16.5" thickBot="1" x14ac:dyDescent="0.3">
      <c r="A19" s="2"/>
      <c r="F19" s="59" t="s">
        <v>14</v>
      </c>
      <c r="G19" s="60"/>
      <c r="H19" s="61">
        <f>H15/(1+$C$55)</f>
        <v>-631.31595982142858</v>
      </c>
      <c r="I19" s="61">
        <f>I15/(1+$C$55)^2</f>
        <v>-530.65769292091829</v>
      </c>
      <c r="J19" s="61">
        <f>J15/(1+$C$55)^3</f>
        <v>-600.1582002778789</v>
      </c>
      <c r="K19" s="61">
        <f>K15/(1+$C$55)^4</f>
        <v>89.882591276156887</v>
      </c>
      <c r="L19" s="61">
        <f>L15/(1+$C$55)^5</f>
        <v>300.43609788318935</v>
      </c>
      <c r="M19" s="61">
        <f>M15/(1+$C$55)^6</f>
        <v>423.54713047442107</v>
      </c>
      <c r="N19" s="61">
        <f>N15/(1+$C$55)^7</f>
        <v>680.70074540531959</v>
      </c>
      <c r="O19" s="61">
        <f>O15/(1+$C$55)^8</f>
        <v>1321.896536836223</v>
      </c>
      <c r="P19" s="61">
        <f>P15/(1+$C$55)^9</f>
        <v>1901.5376769965515</v>
      </c>
      <c r="Q19" s="61">
        <f>Q15/(1+$C$55)^10</f>
        <v>2733.4604106825418</v>
      </c>
      <c r="R19" s="62">
        <f>(R15/(C55-R12))/(1+C55)^10</f>
        <v>120906.10396236405</v>
      </c>
    </row>
    <row r="20" spans="1:18" x14ac:dyDescent="0.25">
      <c r="A20" s="2"/>
      <c r="C20" s="1" t="s">
        <v>38</v>
      </c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C21" s="1" t="s">
        <v>31</v>
      </c>
      <c r="P21" s="3"/>
      <c r="Q21" s="3"/>
      <c r="R21" s="3"/>
    </row>
    <row r="22" spans="1:18" ht="16.5" thickBot="1" x14ac:dyDescent="0.3">
      <c r="P22" s="3"/>
      <c r="Q22" s="3"/>
      <c r="R22" s="3"/>
    </row>
    <row r="23" spans="1:18" x14ac:dyDescent="0.25">
      <c r="A23" s="38" t="s">
        <v>27</v>
      </c>
      <c r="B23" s="39"/>
      <c r="C23" s="39"/>
      <c r="D23" s="40"/>
      <c r="E23" s="28"/>
      <c r="F23" s="39"/>
      <c r="G23" s="28"/>
      <c r="H23" s="28"/>
      <c r="I23" s="28"/>
      <c r="J23" s="29"/>
    </row>
    <row r="24" spans="1:18" x14ac:dyDescent="0.25">
      <c r="A24" s="41"/>
      <c r="B24" s="42"/>
      <c r="C24" s="42"/>
      <c r="D24" s="43"/>
      <c r="E24" s="42"/>
      <c r="F24" s="42"/>
      <c r="G24" s="31"/>
      <c r="H24" s="31"/>
      <c r="I24" s="31"/>
      <c r="J24" s="32"/>
    </row>
    <row r="25" spans="1:18" x14ac:dyDescent="0.25">
      <c r="A25" s="41" t="s">
        <v>7</v>
      </c>
      <c r="B25" s="42" t="s">
        <v>37</v>
      </c>
      <c r="C25" s="42"/>
      <c r="D25" s="44">
        <v>0.09</v>
      </c>
      <c r="E25" s="31"/>
      <c r="F25" s="42"/>
      <c r="G25" s="31"/>
      <c r="H25" s="31"/>
      <c r="I25" s="31"/>
      <c r="J25" s="32"/>
    </row>
    <row r="26" spans="1:18" x14ac:dyDescent="0.25">
      <c r="A26" s="41"/>
      <c r="B26" s="42" t="s">
        <v>33</v>
      </c>
      <c r="C26" s="42"/>
      <c r="D26" s="44">
        <v>0.03</v>
      </c>
      <c r="E26" s="31"/>
      <c r="F26" s="42"/>
      <c r="G26" s="31"/>
      <c r="H26" s="31"/>
      <c r="I26" s="31"/>
      <c r="J26" s="32"/>
    </row>
    <row r="27" spans="1:18" x14ac:dyDescent="0.25">
      <c r="A27" s="41"/>
      <c r="B27" s="42"/>
      <c r="C27" s="42"/>
      <c r="D27" s="44"/>
      <c r="E27" s="31"/>
      <c r="F27" s="42"/>
      <c r="G27" s="31"/>
      <c r="H27" s="31"/>
      <c r="I27" s="31"/>
      <c r="J27" s="32"/>
    </row>
    <row r="28" spans="1:18" x14ac:dyDescent="0.25">
      <c r="A28" s="41"/>
      <c r="B28" s="42"/>
      <c r="C28" s="42"/>
      <c r="D28" s="45"/>
      <c r="E28" s="31"/>
      <c r="F28" s="42"/>
      <c r="G28" s="31"/>
      <c r="H28" s="31"/>
      <c r="I28" s="31"/>
      <c r="J28" s="32"/>
    </row>
    <row r="29" spans="1:18" x14ac:dyDescent="0.25">
      <c r="A29" s="41"/>
      <c r="B29" s="42"/>
      <c r="C29" s="42"/>
      <c r="D29" s="45"/>
      <c r="E29" s="31"/>
      <c r="F29" s="42"/>
      <c r="G29" s="31"/>
      <c r="H29" s="31"/>
      <c r="I29" s="31"/>
      <c r="J29" s="32"/>
    </row>
    <row r="30" spans="1:18" x14ac:dyDescent="0.25">
      <c r="A30" s="41"/>
      <c r="B30" s="42" t="s">
        <v>8</v>
      </c>
      <c r="C30" s="42"/>
      <c r="D30" s="46">
        <f>D25+D26+D27</f>
        <v>0.12</v>
      </c>
      <c r="E30" s="31"/>
      <c r="F30" s="42"/>
      <c r="G30" s="31"/>
      <c r="H30" s="31"/>
      <c r="I30" s="31"/>
      <c r="J30" s="32"/>
    </row>
    <row r="31" spans="1:18" x14ac:dyDescent="0.25">
      <c r="A31" s="41"/>
      <c r="B31" s="42"/>
      <c r="C31" s="42"/>
      <c r="D31" s="43"/>
      <c r="E31" s="31"/>
      <c r="F31" s="42"/>
      <c r="G31" s="31"/>
      <c r="H31" s="31"/>
      <c r="I31" s="31"/>
      <c r="J31" s="32"/>
    </row>
    <row r="32" spans="1:18" x14ac:dyDescent="0.25">
      <c r="A32" s="30"/>
      <c r="B32" s="31"/>
      <c r="C32" s="47"/>
      <c r="D32" s="31"/>
      <c r="E32" s="42"/>
      <c r="F32" s="42"/>
      <c r="G32" s="31"/>
      <c r="H32" s="31"/>
      <c r="I32" s="31"/>
      <c r="J32" s="32"/>
    </row>
    <row r="33" spans="1:10" x14ac:dyDescent="0.25">
      <c r="A33" s="30"/>
      <c r="B33" s="31"/>
      <c r="C33" s="31"/>
      <c r="D33" s="31"/>
      <c r="E33" s="31"/>
      <c r="F33" s="31"/>
      <c r="G33" s="31"/>
      <c r="H33" s="31"/>
      <c r="I33" s="31"/>
      <c r="J33" s="32"/>
    </row>
    <row r="34" spans="1:10" x14ac:dyDescent="0.25">
      <c r="A34" s="41" t="s">
        <v>9</v>
      </c>
      <c r="B34" s="42"/>
      <c r="C34" s="48"/>
      <c r="D34" s="33">
        <v>0</v>
      </c>
      <c r="E34" s="31"/>
      <c r="F34" s="31"/>
      <c r="G34" s="31"/>
      <c r="H34" s="31"/>
      <c r="I34" s="31"/>
      <c r="J34" s="32"/>
    </row>
    <row r="35" spans="1:10" ht="15.75" hidden="1" customHeight="1" x14ac:dyDescent="0.25">
      <c r="A35" s="30"/>
      <c r="B35" s="31"/>
      <c r="C35" s="31"/>
      <c r="D35" s="31"/>
      <c r="E35" s="31"/>
      <c r="F35" s="31"/>
      <c r="G35" s="31"/>
      <c r="H35" s="31"/>
      <c r="I35" s="31"/>
      <c r="J35" s="32"/>
    </row>
    <row r="36" spans="1:10" ht="15.75" hidden="1" customHeight="1" x14ac:dyDescent="0.25">
      <c r="A36" s="30"/>
      <c r="B36" s="31" t="s">
        <v>10</v>
      </c>
      <c r="C36" s="31"/>
      <c r="D36" s="49">
        <v>0.08</v>
      </c>
      <c r="E36" s="31"/>
      <c r="F36" s="31"/>
      <c r="G36" s="31"/>
      <c r="H36" s="31"/>
      <c r="I36" s="31"/>
      <c r="J36" s="32"/>
    </row>
    <row r="37" spans="1:10" ht="15.75" hidden="1" customHeight="1" x14ac:dyDescent="0.25">
      <c r="A37" s="30"/>
      <c r="B37" s="31"/>
      <c r="C37" s="31"/>
      <c r="D37" s="31"/>
      <c r="E37" s="31"/>
      <c r="F37" s="31"/>
      <c r="G37" s="31"/>
      <c r="H37" s="31"/>
      <c r="I37" s="31"/>
      <c r="J37" s="32"/>
    </row>
    <row r="38" spans="1:10" ht="15.75" hidden="1" customHeight="1" x14ac:dyDescent="0.25">
      <c r="A38" s="30"/>
      <c r="B38" s="31"/>
      <c r="C38" s="31"/>
      <c r="D38" s="31"/>
      <c r="E38" s="31"/>
      <c r="F38" s="31"/>
      <c r="G38" s="31"/>
      <c r="H38" s="31"/>
      <c r="I38" s="31"/>
      <c r="J38" s="32"/>
    </row>
    <row r="39" spans="1:10" ht="15.75" hidden="1" customHeight="1" x14ac:dyDescent="0.25">
      <c r="A39" s="30"/>
      <c r="B39" s="31"/>
      <c r="C39" s="31"/>
      <c r="D39" s="31"/>
      <c r="E39" s="31"/>
      <c r="F39" s="31"/>
      <c r="G39" s="31"/>
      <c r="H39" s="31"/>
      <c r="I39" s="31"/>
      <c r="J39" s="32"/>
    </row>
    <row r="40" spans="1:10" hidden="1" x14ac:dyDescent="0.25">
      <c r="A40" s="30"/>
      <c r="B40" s="50"/>
      <c r="C40" s="50">
        <v>0.12</v>
      </c>
      <c r="D40" s="50" t="e">
        <f>((NPV(C40,$H$15:$R$15)+(#REF!*(1+#REF!)/(C40-#REF!))/(1+C40)^(2040-2020))/$D$50)/$C$51-1</f>
        <v>#REF!</v>
      </c>
      <c r="E40" s="31"/>
      <c r="F40" s="31"/>
      <c r="G40" s="31"/>
      <c r="H40" s="31"/>
      <c r="I40" s="31"/>
      <c r="J40" s="32"/>
    </row>
    <row r="41" spans="1:10" hidden="1" x14ac:dyDescent="0.25">
      <c r="A41" s="30"/>
      <c r="B41" s="50"/>
      <c r="C41" s="50">
        <v>0.14000000000000001</v>
      </c>
      <c r="D41" s="50" t="e">
        <f>((NPV(C41,$H$15:$R$15)+(#REF!*(1+#REF!)/(C41-#REF!))/(1+C41)^(2040-2020))/$D$50)/$C$51-1</f>
        <v>#REF!</v>
      </c>
      <c r="E41" s="31"/>
      <c r="F41" s="31"/>
      <c r="G41" s="31"/>
      <c r="H41" s="31"/>
      <c r="I41" s="31"/>
      <c r="J41" s="32"/>
    </row>
    <row r="42" spans="1:10" hidden="1" x14ac:dyDescent="0.25">
      <c r="A42" s="30"/>
      <c r="B42" s="50"/>
      <c r="C42" s="50">
        <v>0.16</v>
      </c>
      <c r="D42" s="50" t="e">
        <f>((NPV(C42,$H$15:$R$15)+(#REF!*(1+#REF!)/(C42-#REF!))/(1+C42)^(2040-2020))/$D$50)/$C$51-1</f>
        <v>#REF!</v>
      </c>
      <c r="E42" s="31"/>
      <c r="F42" s="31"/>
      <c r="G42" s="31"/>
      <c r="H42" s="31"/>
      <c r="I42" s="31"/>
      <c r="J42" s="32"/>
    </row>
    <row r="43" spans="1:10" hidden="1" x14ac:dyDescent="0.25">
      <c r="A43" s="30"/>
      <c r="B43" s="50"/>
      <c r="C43" s="50">
        <v>0.18</v>
      </c>
      <c r="D43" s="50" t="e">
        <f>((NPV(C43,$H$15:$R$15)+(#REF!*(1+#REF!)/(C43-#REF!))/(1+C43)^(2040-2020))/$D$50)/$C$51-1</f>
        <v>#REF!</v>
      </c>
      <c r="E43" s="31"/>
      <c r="F43" s="31"/>
      <c r="G43" s="31"/>
      <c r="H43" s="31"/>
      <c r="I43" s="31"/>
      <c r="J43" s="32"/>
    </row>
    <row r="44" spans="1:10" hidden="1" x14ac:dyDescent="0.25">
      <c r="A44" s="30"/>
      <c r="B44" s="50"/>
      <c r="C44" s="50">
        <v>0.2</v>
      </c>
      <c r="D44" s="50" t="e">
        <f>((NPV(C44,$H$15:$R$15)+(#REF!*(1+#REF!)/(C44-#REF!))/(1+C44)^(2040-2020))/$D$50)/$C$51-1</f>
        <v>#REF!</v>
      </c>
      <c r="E44" s="31"/>
      <c r="F44" s="31"/>
      <c r="G44" s="31"/>
      <c r="H44" s="31"/>
      <c r="I44" s="31"/>
      <c r="J44" s="32"/>
    </row>
    <row r="45" spans="1:10" x14ac:dyDescent="0.25">
      <c r="A45" s="30"/>
      <c r="B45" s="31"/>
      <c r="C45" s="31"/>
      <c r="D45" s="31"/>
      <c r="E45" s="31"/>
      <c r="F45" s="31"/>
      <c r="G45" s="31"/>
      <c r="H45" s="31"/>
      <c r="I45" s="31"/>
      <c r="J45" s="32"/>
    </row>
    <row r="46" spans="1:10" ht="16.5" thickBot="1" x14ac:dyDescent="0.3">
      <c r="A46" s="34"/>
      <c r="B46" s="35" t="s">
        <v>28</v>
      </c>
      <c r="C46" s="35"/>
      <c r="D46" s="51">
        <f>D30+D34</f>
        <v>0.12</v>
      </c>
      <c r="E46" s="35"/>
      <c r="F46" s="35"/>
      <c r="G46" s="35"/>
      <c r="H46" s="35"/>
      <c r="I46" s="35"/>
      <c r="J46" s="36"/>
    </row>
    <row r="48" spans="1:10" x14ac:dyDescent="0.25">
      <c r="A48" s="20"/>
      <c r="B48" s="21"/>
      <c r="C48" s="22">
        <v>44554</v>
      </c>
      <c r="D48" s="23" t="s">
        <v>3</v>
      </c>
      <c r="E48" s="24"/>
      <c r="F48" s="25"/>
      <c r="G48" s="26"/>
      <c r="H48" s="26"/>
      <c r="I48" s="26"/>
    </row>
    <row r="49" spans="1:10" x14ac:dyDescent="0.25">
      <c r="A49" s="52" t="s">
        <v>0</v>
      </c>
      <c r="B49" s="53" t="s">
        <v>5</v>
      </c>
      <c r="C49" s="84">
        <f>C50*C51</f>
        <v>106966.08600000001</v>
      </c>
      <c r="D49" s="55">
        <f>SUM(H19:R19)</f>
        <v>126595.43329889824</v>
      </c>
      <c r="E49" s="53" t="s">
        <v>32</v>
      </c>
    </row>
    <row r="50" spans="1:10" x14ac:dyDescent="0.25">
      <c r="A50" s="52"/>
      <c r="B50" s="53" t="s">
        <v>13</v>
      </c>
      <c r="C50" s="54">
        <v>306.3</v>
      </c>
      <c r="D50" s="54">
        <f>C50</f>
        <v>306.3</v>
      </c>
      <c r="E50" s="53"/>
    </row>
    <row r="51" spans="1:10" x14ac:dyDescent="0.25">
      <c r="A51" s="52"/>
      <c r="B51" s="53" t="s">
        <v>15</v>
      </c>
      <c r="C51" s="66">
        <v>349.22</v>
      </c>
      <c r="D51" s="66">
        <f>D49/(D50)</f>
        <v>413.30536499803537</v>
      </c>
      <c r="E51" s="53" t="s">
        <v>32</v>
      </c>
    </row>
    <row r="52" spans="1:10" x14ac:dyDescent="0.25">
      <c r="A52" s="52"/>
      <c r="B52" s="53" t="s">
        <v>2</v>
      </c>
      <c r="C52" s="53"/>
      <c r="D52" s="67">
        <f>IF(C51/D51-1&gt;0,0,C51/D51-1)</f>
        <v>-0.15505572979518423</v>
      </c>
      <c r="E52" s="53"/>
    </row>
    <row r="53" spans="1:10" x14ac:dyDescent="0.25">
      <c r="A53" s="52"/>
      <c r="B53" s="53" t="s">
        <v>16</v>
      </c>
      <c r="C53" s="53"/>
      <c r="D53" s="68">
        <f>IF(C51/D51-1&lt;0,0,C51/D51-1)</f>
        <v>0</v>
      </c>
      <c r="E53" s="53"/>
    </row>
    <row r="54" spans="1:10" x14ac:dyDescent="0.25">
      <c r="A54" s="53"/>
      <c r="B54" s="53"/>
      <c r="C54" s="53"/>
      <c r="D54" s="56"/>
      <c r="E54" s="56"/>
    </row>
    <row r="55" spans="1:10" x14ac:dyDescent="0.25">
      <c r="A55" s="56" t="s">
        <v>27</v>
      </c>
      <c r="B55" s="53"/>
      <c r="C55" s="58">
        <f>D46</f>
        <v>0.12</v>
      </c>
      <c r="D55" s="57"/>
      <c r="E55" s="53"/>
      <c r="J55" s="83"/>
    </row>
    <row r="56" spans="1:10" ht="16.5" thickBot="1" x14ac:dyDescent="0.3">
      <c r="A56" s="27"/>
      <c r="C56" s="77"/>
      <c r="D56" s="78"/>
    </row>
    <row r="57" spans="1:10" x14ac:dyDescent="0.25">
      <c r="A57" s="69" t="s">
        <v>26</v>
      </c>
      <c r="B57" s="28"/>
      <c r="C57" s="80">
        <v>35</v>
      </c>
      <c r="D57" s="28"/>
      <c r="E57" s="29"/>
    </row>
    <row r="58" spans="1:10" x14ac:dyDescent="0.25">
      <c r="A58" s="30" t="s">
        <v>29</v>
      </c>
      <c r="B58" s="31"/>
      <c r="C58" s="81">
        <f>E60/R11</f>
        <v>7.3500000000000014</v>
      </c>
      <c r="D58" s="31"/>
      <c r="E58" s="32"/>
    </row>
    <row r="59" spans="1:10" x14ac:dyDescent="0.25">
      <c r="A59" s="30"/>
      <c r="B59" s="31"/>
      <c r="C59" s="81"/>
      <c r="D59" s="31"/>
      <c r="E59" s="32"/>
    </row>
    <row r="60" spans="1:10" x14ac:dyDescent="0.25">
      <c r="A60" s="30" t="s">
        <v>19</v>
      </c>
      <c r="B60" s="31"/>
      <c r="C60" s="81"/>
      <c r="D60" s="31"/>
      <c r="E60" s="70">
        <f>R15*C57</f>
        <v>394291.80668785668</v>
      </c>
    </row>
    <row r="61" spans="1:10" x14ac:dyDescent="0.25">
      <c r="A61" s="30"/>
      <c r="B61" s="31"/>
      <c r="C61" s="81"/>
      <c r="D61" s="31"/>
      <c r="E61" s="32"/>
    </row>
    <row r="62" spans="1:10" x14ac:dyDescent="0.25">
      <c r="A62" s="30" t="s">
        <v>20</v>
      </c>
      <c r="B62" s="31"/>
      <c r="C62" s="82">
        <v>0</v>
      </c>
      <c r="D62" s="31"/>
      <c r="E62" s="32"/>
    </row>
    <row r="63" spans="1:10" x14ac:dyDescent="0.25">
      <c r="A63" s="30"/>
      <c r="B63" s="31"/>
      <c r="C63" s="31"/>
      <c r="D63" s="31"/>
      <c r="E63" s="32"/>
    </row>
    <row r="64" spans="1:10" x14ac:dyDescent="0.25">
      <c r="A64" s="30" t="s">
        <v>21</v>
      </c>
      <c r="B64" s="31"/>
      <c r="C64" s="31"/>
      <c r="D64" s="31"/>
      <c r="E64" s="70">
        <f>SUM(H15:R15)*C62</f>
        <v>0</v>
      </c>
    </row>
    <row r="65" spans="1:5" x14ac:dyDescent="0.25">
      <c r="A65" s="30"/>
      <c r="B65" s="31"/>
      <c r="C65" s="31"/>
      <c r="D65" s="31"/>
      <c r="E65" s="71"/>
    </row>
    <row r="66" spans="1:5" x14ac:dyDescent="0.25">
      <c r="A66" s="72" t="s">
        <v>22</v>
      </c>
      <c r="B66" s="31"/>
      <c r="C66" s="31"/>
      <c r="D66" s="31"/>
      <c r="E66" s="73">
        <f>(E64*0.25)*-1</f>
        <v>0</v>
      </c>
    </row>
    <row r="67" spans="1:5" x14ac:dyDescent="0.25">
      <c r="A67" s="30"/>
      <c r="B67" s="31"/>
      <c r="C67" s="50"/>
      <c r="D67" s="50"/>
      <c r="E67" s="74"/>
    </row>
    <row r="68" spans="1:5" x14ac:dyDescent="0.25">
      <c r="A68" s="30" t="s">
        <v>23</v>
      </c>
      <c r="B68" s="31"/>
      <c r="C68" s="31"/>
      <c r="D68" s="31"/>
      <c r="E68" s="70">
        <f>SUM(E60:E66)</f>
        <v>394291.80668785668</v>
      </c>
    </row>
    <row r="69" spans="1:5" x14ac:dyDescent="0.25">
      <c r="A69" s="30"/>
      <c r="B69" s="31"/>
      <c r="C69" s="31"/>
      <c r="D69" s="31"/>
      <c r="E69" s="70"/>
    </row>
    <row r="70" spans="1:5" x14ac:dyDescent="0.25">
      <c r="A70" s="30" t="s">
        <v>24</v>
      </c>
      <c r="B70" s="31"/>
      <c r="C70" s="31"/>
      <c r="D70" s="31"/>
      <c r="E70" s="74">
        <f>E68/C49-1</f>
        <v>2.6861384896130223</v>
      </c>
    </row>
    <row r="71" spans="1:5" x14ac:dyDescent="0.25">
      <c r="A71" s="30"/>
      <c r="B71" s="31"/>
      <c r="C71" s="31"/>
      <c r="D71" s="31"/>
      <c r="E71" s="32"/>
    </row>
    <row r="72" spans="1:5" ht="16.5" thickBot="1" x14ac:dyDescent="0.3">
      <c r="A72" s="75" t="s">
        <v>25</v>
      </c>
      <c r="B72" s="76"/>
      <c r="C72" s="76"/>
      <c r="D72" s="76"/>
      <c r="E72" s="79">
        <f>(E68/C49)^(1/10)-1</f>
        <v>0.13935002127972185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Pessimistisches</vt:lpstr>
      <vt:lpstr>Optimistisches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chris_grca1ny</cp:lastModifiedBy>
  <cp:lastPrinted>2021-08-03T18:16:56Z</cp:lastPrinted>
  <dcterms:created xsi:type="dcterms:W3CDTF">2020-02-09T06:30:31Z</dcterms:created>
  <dcterms:modified xsi:type="dcterms:W3CDTF">2021-12-24T13:22:22Z</dcterms:modified>
</cp:coreProperties>
</file>