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_grca1ny\Desktop\CS-Research\Aktienanalysen\Vuzix\"/>
    </mc:Choice>
  </mc:AlternateContent>
  <bookViews>
    <workbookView xWindow="0" yWindow="0" windowWidth="28800" windowHeight="12330"/>
  </bookViews>
  <sheets>
    <sheet name="Optimistisch" sheetId="2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24" l="1"/>
  <c r="K17" i="24"/>
  <c r="K11" i="24"/>
  <c r="K14" i="24"/>
  <c r="L11" i="24"/>
  <c r="L14" i="24"/>
  <c r="M11" i="24"/>
  <c r="M14" i="24"/>
  <c r="N11" i="24"/>
  <c r="N14" i="24"/>
  <c r="O11" i="24"/>
  <c r="O14" i="24"/>
  <c r="P11" i="24"/>
  <c r="P14" i="24"/>
  <c r="Q11" i="24"/>
  <c r="Q14" i="24"/>
  <c r="R11" i="24"/>
  <c r="R14" i="24"/>
  <c r="I14" i="24"/>
  <c r="J14" i="24"/>
  <c r="H14" i="24"/>
  <c r="I15" i="24"/>
  <c r="J15" i="24"/>
  <c r="H15" i="24"/>
  <c r="I12" i="24"/>
  <c r="J12" i="24"/>
  <c r="D15" i="24"/>
  <c r="E15" i="24"/>
  <c r="F15" i="24"/>
  <c r="G15" i="24"/>
  <c r="C15" i="24"/>
  <c r="D13" i="24"/>
  <c r="E13" i="24"/>
  <c r="F13" i="24"/>
  <c r="G13" i="24"/>
  <c r="C13" i="24"/>
  <c r="G12" i="24"/>
  <c r="F17" i="24"/>
  <c r="G17" i="24"/>
  <c r="D32" i="24"/>
  <c r="D48" i="24"/>
  <c r="C57" i="24"/>
  <c r="H21" i="24"/>
  <c r="H12" i="24"/>
  <c r="I21" i="24"/>
  <c r="J21" i="24"/>
  <c r="C51" i="24"/>
  <c r="K21" i="24"/>
  <c r="K16" i="24"/>
  <c r="L16" i="24"/>
  <c r="L17" i="24"/>
  <c r="M16" i="24"/>
  <c r="M17" i="24"/>
  <c r="M21" i="24"/>
  <c r="L21" i="24"/>
  <c r="N16" i="24"/>
  <c r="N17" i="24"/>
  <c r="O16" i="24"/>
  <c r="O17" i="24"/>
  <c r="N21" i="24"/>
  <c r="P16" i="24"/>
  <c r="P17" i="24"/>
  <c r="O21" i="24"/>
  <c r="P21" i="24"/>
  <c r="Q16" i="24"/>
  <c r="Q17" i="24"/>
  <c r="R16" i="24"/>
  <c r="R17" i="24"/>
  <c r="D45" i="24"/>
  <c r="E62" i="24"/>
  <c r="R21" i="24"/>
  <c r="D43" i="24"/>
  <c r="D44" i="24"/>
  <c r="Q21" i="24"/>
  <c r="E66" i="24"/>
  <c r="E68" i="24"/>
  <c r="D42" i="24"/>
  <c r="D46" i="24"/>
  <c r="D51" i="24"/>
  <c r="D53" i="24"/>
  <c r="D55" i="24"/>
  <c r="C60" i="24"/>
  <c r="E70" i="24"/>
  <c r="D54" i="24"/>
  <c r="E74" i="24"/>
  <c r="E72" i="24"/>
</calcChain>
</file>

<file path=xl/sharedStrings.xml><?xml version="1.0" encoding="utf-8"?>
<sst xmlns="http://schemas.openxmlformats.org/spreadsheetml/2006/main" count="45" uniqueCount="43">
  <si>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</si>
  <si>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</si>
  <si>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</si>
  <si>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</si>
  <si>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</si>
  <si>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</si>
  <si>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</si>
  <si>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Branche</t>
  </si>
  <si>
    <t>Gesamt Branche: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</si>
  <si>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</si>
  <si>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</si>
  <si>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</si>
  <si>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</si>
  <si>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</si>
  <si>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</si>
  <si>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</si>
  <si>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2031ff.</t>
  </si>
  <si>
    <t>Überbewertung</t>
  </si>
  <si>
    <t>EBIT Marge, %</t>
  </si>
  <si>
    <t>EBIT</t>
  </si>
  <si>
    <t>Konzerngewinn x multiple</t>
  </si>
  <si>
    <t xml:space="preserve">Ausschüttungsquote </t>
  </si>
  <si>
    <t xml:space="preserve">Ausgeschüttete Gewinne </t>
  </si>
  <si>
    <t>Quellensteuer</t>
  </si>
  <si>
    <t>Gesamtwert 2031</t>
  </si>
  <si>
    <t>Steigerung Gesamt bis 2031 in Prozent</t>
  </si>
  <si>
    <t>Renditeerwartung bis 2031 pro Jahr</t>
  </si>
  <si>
    <t>Gewinnmultiple in 2031</t>
  </si>
  <si>
    <t>Eigenkapitalzins</t>
  </si>
  <si>
    <t>EK-Zins</t>
  </si>
  <si>
    <t xml:space="preserve">Umsatzmultiple </t>
  </si>
  <si>
    <t>Gewinn (25% Zinsen/Steuern/sonstiges)</t>
  </si>
  <si>
    <t>USD</t>
  </si>
  <si>
    <t>Bruttomarge</t>
  </si>
  <si>
    <t>Bruttogewinn</t>
  </si>
  <si>
    <t>AR-VR Market</t>
  </si>
  <si>
    <t>Sicherheitszuschlag, für hohe Konkurrenz, unprofitabel</t>
  </si>
  <si>
    <t>schlechte Bruttomarge…</t>
  </si>
  <si>
    <t>25 % Abschlag vom EBIT für Zins und Steuern</t>
  </si>
  <si>
    <t>(ab 2024)</t>
  </si>
  <si>
    <t xml:space="preserve">Alle Angaben in Mio. </t>
  </si>
  <si>
    <t>Optimistische Annahmen für Vuzix</t>
  </si>
  <si>
    <t>keine Nettoschulden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</si>
</sst>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;@"/>
    <numFmt numFmtId="165" formatCode="0.0%"/>
    <numFmt numFmtId="166" formatCode="#,##0.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7" fillId="2" borderId="0" xfId="0" applyFont="1" applyFill="1"/>
    <xf numFmtId="9" fontId="7" fillId="2" borderId="0" xfId="1" applyFont="1" applyFill="1"/>
    <xf numFmtId="0" fontId="0" fillId="4" borderId="0" xfId="0" applyFill="1"/>
    <xf numFmtId="0" fontId="3" fillId="4" borderId="0" xfId="0" applyFont="1" applyFill="1"/>
    <xf numFmtId="0" fontId="2" fillId="4" borderId="0" xfId="0" applyFont="1" applyFill="1"/>
    <xf numFmtId="0" fontId="3" fillId="5" borderId="0" xfId="0" applyFont="1" applyFill="1"/>
    <xf numFmtId="9" fontId="0" fillId="5" borderId="0" xfId="1" applyFont="1" applyFill="1"/>
    <xf numFmtId="9" fontId="1" fillId="6" borderId="0" xfId="1" applyFont="1" applyFill="1"/>
    <xf numFmtId="3" fontId="0" fillId="7" borderId="0" xfId="0" applyNumberFormat="1" applyFont="1" applyFill="1"/>
    <xf numFmtId="165" fontId="1" fillId="7" borderId="0" xfId="1" applyNumberFormat="1" applyFont="1" applyFill="1"/>
    <xf numFmtId="0" fontId="0" fillId="2" borderId="1" xfId="0" applyFill="1" applyBorder="1" applyAlignment="1">
      <alignment wrapText="1"/>
    </xf>
    <xf numFmtId="0" fontId="6" fillId="2" borderId="2" xfId="0" applyFont="1" applyFill="1" applyBorder="1"/>
    <xf numFmtId="9" fontId="0" fillId="2" borderId="2" xfId="1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0" fontId="8" fillId="6" borderId="0" xfId="0" applyFont="1" applyFill="1"/>
    <xf numFmtId="4" fontId="3" fillId="6" borderId="0" xfId="0" applyNumberFormat="1" applyFont="1" applyFill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9" fillId="2" borderId="0" xfId="0" applyFont="1" applyFill="1"/>
    <xf numFmtId="4" fontId="3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1" fillId="2" borderId="0" xfId="1" applyNumberFormat="1" applyFont="1" applyFill="1" applyBorder="1"/>
    <xf numFmtId="3" fontId="3" fillId="2" borderId="0" xfId="0" applyNumberFormat="1" applyFont="1" applyFill="1" applyBorder="1"/>
    <xf numFmtId="165" fontId="3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3" fillId="2" borderId="0" xfId="0" applyNumberFormat="1" applyFont="1" applyFill="1" applyBorder="1"/>
    <xf numFmtId="9" fontId="0" fillId="2" borderId="0" xfId="1" applyFont="1" applyFill="1" applyBorder="1"/>
    <xf numFmtId="10" fontId="3" fillId="2" borderId="10" xfId="0" applyNumberFormat="1" applyFont="1" applyFill="1" applyBorder="1"/>
    <xf numFmtId="0" fontId="3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7" fillId="8" borderId="0" xfId="0" applyNumberFormat="1" applyFont="1" applyFill="1"/>
    <xf numFmtId="0" fontId="3" fillId="8" borderId="0" xfId="0" applyFont="1" applyFill="1"/>
    <xf numFmtId="1" fontId="1" fillId="8" borderId="0" xfId="1" applyNumberFormat="1" applyFont="1" applyFill="1"/>
    <xf numFmtId="10" fontId="3" fillId="8" borderId="0" xfId="1" applyNumberFormat="1" applyFont="1" applyFill="1"/>
    <xf numFmtId="0" fontId="0" fillId="2" borderId="1" xfId="0" applyFill="1" applyBorder="1"/>
    <xf numFmtId="0" fontId="7" fillId="2" borderId="2" xfId="0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8" fillId="7" borderId="0" xfId="0" applyFont="1" applyFill="1" applyAlignment="1">
      <alignment horizontal="right" vertical="center"/>
    </xf>
    <xf numFmtId="0" fontId="3" fillId="7" borderId="0" xfId="0" applyFont="1" applyFill="1"/>
    <xf numFmtId="9" fontId="0" fillId="7" borderId="0" xfId="1" applyFont="1" applyFill="1"/>
    <xf numFmtId="4" fontId="0" fillId="8" borderId="0" xfId="0" applyNumberFormat="1" applyFill="1"/>
    <xf numFmtId="9" fontId="0" fillId="9" borderId="0" xfId="1" applyFont="1" applyFill="1"/>
    <xf numFmtId="9" fontId="3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4" fillId="2" borderId="8" xfId="0" quotePrefix="1" applyNumberFormat="1" applyFont="1" applyFill="1" applyBorder="1"/>
    <xf numFmtId="10" fontId="0" fillId="2" borderId="7" xfId="0" applyNumberFormat="1" applyFill="1" applyBorder="1"/>
    <xf numFmtId="4" fontId="10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3" fillId="2" borderId="0" xfId="1" applyNumberFormat="1" applyFont="1" applyFill="1"/>
    <xf numFmtId="1" fontId="1" fillId="2" borderId="0" xfId="1" applyNumberFormat="1" applyFont="1" applyFill="1"/>
    <xf numFmtId="165" fontId="0" fillId="10" borderId="11" xfId="1" applyNumberFormat="1" applyFon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3" fontId="0" fillId="5" borderId="0" xfId="0" applyNumberFormat="1" applyFont="1" applyFill="1"/>
    <xf numFmtId="3" fontId="0" fillId="5" borderId="0" xfId="0" applyNumberFormat="1" applyFill="1"/>
    <xf numFmtId="165" fontId="0" fillId="7" borderId="0" xfId="1" applyNumberFormat="1" applyFont="1" applyFill="1"/>
    <xf numFmtId="166" fontId="0" fillId="5" borderId="0" xfId="0" applyNumberFormat="1" applyFont="1" applyFill="1"/>
    <xf numFmtId="2" fontId="0" fillId="5" borderId="0" xfId="1" applyNumberFormat="1" applyFont="1" applyFill="1"/>
    <xf numFmtId="4" fontId="0" fillId="7" borderId="0" xfId="0" applyNumberFormat="1" applyFont="1" applyFill="1"/>
    <xf numFmtId="2" fontId="0" fillId="7" borderId="0" xfId="1" applyNumberFormat="1" applyFont="1" applyFill="1"/>
    <xf numFmtId="9" fontId="1" fillId="7" borderId="0" xfId="1" applyNumberFormat="1" applyFont="1" applyFill="1"/>
  </cellXfs>
  <cellStyles count="3">
    <cellStyle name="Prozent" xfId="1" builtinId="5"/>
    <cellStyle name="Prozent 2" xfId="2"/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  <color rgb="FFFFCC66"/>
      <color rgb="FFFFEB7D"/>
      <color rgb="FF009900"/>
      <color rgb="FFCC99FF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17</xdr:row>
      <xdr:rowOff>19845</xdr:rowOff>
    </xdr:from>
    <xdr:to>
      <xdr:col>2</xdr:col>
      <xdr:colOff>952500</xdr:colOff>
      <xdr:row>20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18</xdr:row>
      <xdr:rowOff>23812</xdr:rowOff>
    </xdr:from>
    <xdr:to>
      <xdr:col>4</xdr:col>
      <xdr:colOff>797718</xdr:colOff>
      <xdr:row>20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4"/>
  <sheetViews>
    <sheetView tabSelected="1" topLeftCell="A56" zoomScale="90" zoomScaleNormal="90" workbookViewId="0">
      <selection activeCell="B47" sqref="B47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7" t="s">
        <v>12</v>
      </c>
    </row>
    <row r="4" spans="1:28" x14ac:dyDescent="0.25">
      <c r="B4" s="27" t="s">
        <v>41</v>
      </c>
      <c r="L4" s="31"/>
      <c r="M4" s="31"/>
      <c r="N4" s="31"/>
      <c r="O4" s="31"/>
      <c r="P4" s="31"/>
      <c r="Q4" s="31"/>
      <c r="R4" s="31"/>
      <c r="S4" s="31"/>
    </row>
    <row r="5" spans="1:28" x14ac:dyDescent="0.25">
      <c r="L5" s="31"/>
      <c r="M5" s="31"/>
      <c r="N5" s="31"/>
      <c r="O5" s="31"/>
      <c r="P5" s="31"/>
      <c r="Q5" s="31"/>
      <c r="R5" s="31"/>
      <c r="S5" s="31"/>
    </row>
    <row r="6" spans="1:28" x14ac:dyDescent="0.25">
      <c r="B6" s="1" t="s">
        <v>40</v>
      </c>
      <c r="L6" s="31"/>
      <c r="M6" s="31"/>
      <c r="N6" s="31"/>
      <c r="O6" s="31"/>
      <c r="P6" s="31"/>
      <c r="Q6" s="31"/>
      <c r="R6" s="31"/>
      <c r="S6" s="31"/>
    </row>
    <row r="9" spans="1:28" s="8" customFormat="1" x14ac:dyDescent="0.25">
      <c r="H9" s="9" t="s">
        <v>11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2016</v>
      </c>
      <c r="D10" s="11">
        <v>2017</v>
      </c>
      <c r="E10" s="11">
        <v>2018</v>
      </c>
      <c r="F10" s="11">
        <v>2019</v>
      </c>
      <c r="G10" s="11">
        <v>2020</v>
      </c>
      <c r="H10" s="64">
        <v>2021</v>
      </c>
      <c r="I10" s="64">
        <v>2022</v>
      </c>
      <c r="J10" s="64">
        <v>2023</v>
      </c>
      <c r="K10" s="64">
        <v>2024</v>
      </c>
      <c r="L10" s="64">
        <v>2025</v>
      </c>
      <c r="M10" s="64">
        <v>2026</v>
      </c>
      <c r="N10" s="64">
        <v>2027</v>
      </c>
      <c r="O10" s="64">
        <v>2028</v>
      </c>
      <c r="P10" s="64">
        <v>2029</v>
      </c>
      <c r="Q10" s="64">
        <v>2030</v>
      </c>
      <c r="R10" s="63" t="s">
        <v>16</v>
      </c>
    </row>
    <row r="11" spans="1:28" x14ac:dyDescent="0.25">
      <c r="A11" s="5"/>
      <c r="B11" s="4" t="s">
        <v>4</v>
      </c>
      <c r="C11" s="88">
        <v>2.1273780000000002</v>
      </c>
      <c r="D11" s="88">
        <v>5.5377530000000004</v>
      </c>
      <c r="E11" s="88">
        <v>8.0943679999999993</v>
      </c>
      <c r="F11" s="88">
        <v>6.670604</v>
      </c>
      <c r="G11" s="88">
        <v>11.581496</v>
      </c>
      <c r="H11" s="90">
        <v>13.83</v>
      </c>
      <c r="I11" s="90">
        <v>25.22</v>
      </c>
      <c r="J11" s="90">
        <v>40.19</v>
      </c>
      <c r="K11" s="90">
        <f t="shared" ref="K11" si="0">J11*(1+K12)</f>
        <v>64.304000000000002</v>
      </c>
      <c r="L11" s="90">
        <f t="shared" ref="L11:R11" si="1">K11*(1+L12)</f>
        <v>102.88640000000001</v>
      </c>
      <c r="M11" s="90">
        <f t="shared" si="1"/>
        <v>159.47392000000002</v>
      </c>
      <c r="N11" s="90">
        <f t="shared" si="1"/>
        <v>247.18457600000005</v>
      </c>
      <c r="O11" s="90">
        <f t="shared" si="1"/>
        <v>346.05840640000002</v>
      </c>
      <c r="P11" s="90">
        <f t="shared" si="1"/>
        <v>467.17884864000007</v>
      </c>
      <c r="Q11" s="90">
        <f t="shared" si="1"/>
        <v>630.69144566400018</v>
      </c>
      <c r="R11" s="90">
        <f t="shared" si="1"/>
        <v>681.14676131712019</v>
      </c>
    </row>
    <row r="12" spans="1:28" x14ac:dyDescent="0.25">
      <c r="A12" s="5"/>
      <c r="B12" s="4" t="s">
        <v>1</v>
      </c>
      <c r="C12" s="12"/>
      <c r="D12" s="12"/>
      <c r="E12" s="12"/>
      <c r="F12" s="12"/>
      <c r="G12" s="12">
        <f t="shared" ref="G12:H12" si="2">G11/F11-1</f>
        <v>0.73619900087008605</v>
      </c>
      <c r="H12" s="65">
        <f t="shared" si="2"/>
        <v>0.19414624846392914</v>
      </c>
      <c r="I12" s="65">
        <f t="shared" ref="I12" si="3">I11/H11-1</f>
        <v>0.82357194504699915</v>
      </c>
      <c r="J12" s="65">
        <f t="shared" ref="J12" si="4">J11/I11-1</f>
        <v>0.59357652656621718</v>
      </c>
      <c r="K12" s="65">
        <v>0.6</v>
      </c>
      <c r="L12" s="65">
        <v>0.6</v>
      </c>
      <c r="M12" s="65">
        <v>0.55000000000000004</v>
      </c>
      <c r="N12" s="65">
        <v>0.55000000000000004</v>
      </c>
      <c r="O12" s="15">
        <v>0.4</v>
      </c>
      <c r="P12" s="15">
        <v>0.35</v>
      </c>
      <c r="Q12" s="15">
        <v>0.35</v>
      </c>
      <c r="R12" s="15">
        <v>0.08</v>
      </c>
    </row>
    <row r="13" spans="1:28" x14ac:dyDescent="0.25">
      <c r="A13" s="5"/>
      <c r="B13" s="4" t="s">
        <v>33</v>
      </c>
      <c r="C13" s="12">
        <f>C14/C11</f>
        <v>-0.54695874452024984</v>
      </c>
      <c r="D13" s="12">
        <f t="shared" ref="D13:G13" si="5">D14/D11</f>
        <v>-0.12217915822536686</v>
      </c>
      <c r="E13" s="12">
        <f t="shared" si="5"/>
        <v>0.21842347666921003</v>
      </c>
      <c r="F13" s="12">
        <f t="shared" si="5"/>
        <v>-0.66082786506289393</v>
      </c>
      <c r="G13" s="12">
        <f t="shared" si="5"/>
        <v>0.16643868805895196</v>
      </c>
      <c r="H13" s="65">
        <v>0.17</v>
      </c>
      <c r="I13" s="65">
        <v>0.2</v>
      </c>
      <c r="J13" s="65">
        <v>0.25</v>
      </c>
      <c r="K13" s="65">
        <v>0.25</v>
      </c>
      <c r="L13" s="65">
        <v>0.3</v>
      </c>
      <c r="M13" s="65">
        <v>0.3</v>
      </c>
      <c r="N13" s="65">
        <v>0.33</v>
      </c>
      <c r="O13" s="92">
        <v>0.35</v>
      </c>
      <c r="P13" s="92">
        <v>0.4</v>
      </c>
      <c r="Q13" s="92">
        <v>0.4</v>
      </c>
      <c r="R13" s="92">
        <v>0.43</v>
      </c>
    </row>
    <row r="14" spans="1:28" x14ac:dyDescent="0.25">
      <c r="A14" s="5"/>
      <c r="B14" s="4" t="s">
        <v>34</v>
      </c>
      <c r="C14" s="89">
        <v>-1.1635880000000001</v>
      </c>
      <c r="D14" s="89">
        <v>-0.67659800000000003</v>
      </c>
      <c r="E14" s="89">
        <v>1.768</v>
      </c>
      <c r="F14" s="89">
        <v>-4.4081210000000004</v>
      </c>
      <c r="G14" s="89">
        <v>1.9276089999999999</v>
      </c>
      <c r="H14" s="91">
        <f>H11*H13</f>
        <v>2.3511000000000002</v>
      </c>
      <c r="I14" s="91">
        <f t="shared" ref="I14:J14" si="6">I11*I13</f>
        <v>5.0440000000000005</v>
      </c>
      <c r="J14" s="91">
        <f t="shared" si="6"/>
        <v>10.047499999999999</v>
      </c>
      <c r="K14" s="91">
        <f t="shared" ref="K14" si="7">K11*K13</f>
        <v>16.076000000000001</v>
      </c>
      <c r="L14" s="91">
        <f t="shared" ref="L14" si="8">L11*L13</f>
        <v>30.865920000000003</v>
      </c>
      <c r="M14" s="91">
        <f t="shared" ref="M14" si="9">M11*M13</f>
        <v>47.842176000000002</v>
      </c>
      <c r="N14" s="91">
        <f t="shared" ref="N14" si="10">N11*N13</f>
        <v>81.570910080000019</v>
      </c>
      <c r="O14" s="91">
        <f t="shared" ref="O14" si="11">O11*O13</f>
        <v>121.12044224</v>
      </c>
      <c r="P14" s="91">
        <f t="shared" ref="P14" si="12">P11*P13</f>
        <v>186.87153945600005</v>
      </c>
      <c r="Q14" s="91">
        <f t="shared" ref="Q14" si="13">Q11*Q13</f>
        <v>252.27657826560008</v>
      </c>
      <c r="R14" s="91">
        <f t="shared" ref="R14" si="14">R11*R13</f>
        <v>292.89310736636168</v>
      </c>
    </row>
    <row r="15" spans="1:28" ht="15.95" customHeight="1" x14ac:dyDescent="0.25">
      <c r="A15" s="5"/>
      <c r="B15" s="4" t="s">
        <v>18</v>
      </c>
      <c r="C15" s="12">
        <f>C16/C11</f>
        <v>-8.7129602731625493</v>
      </c>
      <c r="D15" s="12">
        <f t="shared" ref="D15:G15" si="15">D16/D11</f>
        <v>-3.5277413059051206</v>
      </c>
      <c r="E15" s="12">
        <f t="shared" si="15"/>
        <v>-2.7007413055596188</v>
      </c>
      <c r="F15" s="12">
        <f t="shared" si="15"/>
        <v>-3.9825841857798783</v>
      </c>
      <c r="G15" s="12">
        <f t="shared" si="15"/>
        <v>-1.6515538234438798</v>
      </c>
      <c r="H15" s="87">
        <f>H16/H11</f>
        <v>-2.2553000000000001</v>
      </c>
      <c r="I15" s="87">
        <f t="shared" ref="I15:J15" si="16">I16/I11</f>
        <v>-1.2156</v>
      </c>
      <c r="J15" s="87">
        <f t="shared" si="16"/>
        <v>-0.71640000000000004</v>
      </c>
      <c r="K15" s="87">
        <v>-0.4</v>
      </c>
      <c r="L15" s="87">
        <v>-0.15</v>
      </c>
      <c r="M15" s="87">
        <v>0.05</v>
      </c>
      <c r="N15" s="87">
        <v>0.1</v>
      </c>
      <c r="O15" s="87">
        <v>0.15</v>
      </c>
      <c r="P15" s="87">
        <v>0.2</v>
      </c>
      <c r="Q15" s="87">
        <v>0.2</v>
      </c>
      <c r="R15" s="87">
        <v>0.22</v>
      </c>
    </row>
    <row r="16" spans="1:28" ht="17.100000000000001" customHeight="1" x14ac:dyDescent="0.25">
      <c r="A16" s="5"/>
      <c r="B16" s="4" t="s">
        <v>19</v>
      </c>
      <c r="C16" s="85">
        <v>-18.53576</v>
      </c>
      <c r="D16" s="85">
        <v>-19.53576</v>
      </c>
      <c r="E16" s="85">
        <v>-21.860793999999999</v>
      </c>
      <c r="F16" s="85">
        <v>-26.566241999999999</v>
      </c>
      <c r="G16" s="85">
        <v>-19.127464</v>
      </c>
      <c r="H16" s="90">
        <v>-31.190799000000002</v>
      </c>
      <c r="I16" s="90">
        <v>-30.657432</v>
      </c>
      <c r="J16" s="90">
        <v>-28.792116</v>
      </c>
      <c r="K16" s="14">
        <f>K11*K15</f>
        <v>-25.721600000000002</v>
      </c>
      <c r="L16" s="14">
        <f t="shared" ref="L16:R16" si="17">L11*L15</f>
        <v>-15.432960000000001</v>
      </c>
      <c r="M16" s="14">
        <f t="shared" si="17"/>
        <v>7.9736960000000012</v>
      </c>
      <c r="N16" s="14">
        <f t="shared" si="17"/>
        <v>24.718457600000008</v>
      </c>
      <c r="O16" s="14">
        <f>O11*O15</f>
        <v>51.908760960000002</v>
      </c>
      <c r="P16" s="14">
        <f t="shared" si="17"/>
        <v>93.435769728000025</v>
      </c>
      <c r="Q16" s="14">
        <f t="shared" si="17"/>
        <v>126.13828913280004</v>
      </c>
      <c r="R16" s="14">
        <f t="shared" si="17"/>
        <v>149.85228748976644</v>
      </c>
    </row>
    <row r="17" spans="1:18" ht="16.5" thickBot="1" x14ac:dyDescent="0.3">
      <c r="A17" s="13">
        <v>0.25</v>
      </c>
      <c r="B17" s="4" t="s">
        <v>31</v>
      </c>
      <c r="C17" s="86"/>
      <c r="D17" s="85"/>
      <c r="E17" s="85"/>
      <c r="F17" s="85">
        <f>F11*-0.234</f>
        <v>-1.560921336</v>
      </c>
      <c r="G17" s="85">
        <f>G11*0.1507</f>
        <v>1.7453314471999999</v>
      </c>
      <c r="H17" s="90">
        <v>-31.445270999999998</v>
      </c>
      <c r="I17" s="90">
        <v>-30.859192</v>
      </c>
      <c r="J17" s="90">
        <v>-29.173920999999996</v>
      </c>
      <c r="K17" s="14">
        <f t="shared" ref="K17:Q17" si="18">K16*(1-$A$17)</f>
        <v>-19.291200000000003</v>
      </c>
      <c r="L17" s="14">
        <f t="shared" si="18"/>
        <v>-11.574720000000001</v>
      </c>
      <c r="M17" s="14">
        <f t="shared" si="18"/>
        <v>5.9802720000000011</v>
      </c>
      <c r="N17" s="14">
        <f t="shared" si="18"/>
        <v>18.538843200000006</v>
      </c>
      <c r="O17" s="14">
        <f t="shared" si="18"/>
        <v>38.931570720000003</v>
      </c>
      <c r="P17" s="14">
        <f t="shared" si="18"/>
        <v>70.076827296000019</v>
      </c>
      <c r="Q17" s="14">
        <f t="shared" si="18"/>
        <v>94.603716849600033</v>
      </c>
      <c r="R17" s="14">
        <f>R16*(1-$A$17)</f>
        <v>112.38921561732482</v>
      </c>
    </row>
    <row r="18" spans="1:18" ht="32.25" thickBot="1" x14ac:dyDescent="0.3">
      <c r="A18" s="16" t="s">
        <v>6</v>
      </c>
      <c r="B18" s="17"/>
      <c r="C18" s="18"/>
      <c r="D18" s="18"/>
      <c r="E18" s="19"/>
      <c r="F18" s="19"/>
      <c r="G18" s="19"/>
      <c r="H18" s="19"/>
      <c r="I18" s="19"/>
      <c r="J18" s="19"/>
      <c r="K18" s="19"/>
    </row>
    <row r="19" spans="1:18" x14ac:dyDescent="0.25">
      <c r="A19" s="2"/>
      <c r="G19" s="6"/>
      <c r="H19" s="6"/>
      <c r="I19" s="6"/>
      <c r="J19" s="6"/>
      <c r="K19" s="6"/>
      <c r="L19" s="6"/>
      <c r="M19" s="6"/>
      <c r="N19" s="6"/>
      <c r="O19" s="6"/>
      <c r="P19" s="3"/>
      <c r="Q19" s="3"/>
      <c r="R19" s="3"/>
    </row>
    <row r="20" spans="1:18" ht="16.5" thickBot="1" x14ac:dyDescent="0.3">
      <c r="A20" s="2"/>
      <c r="G20" s="6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ht="16.5" thickBot="1" x14ac:dyDescent="0.3">
      <c r="A21" s="2"/>
      <c r="F21" s="59" t="s">
        <v>14</v>
      </c>
      <c r="G21" s="60"/>
      <c r="H21" s="61">
        <f>H17/(1+$C$57)</f>
        <v>-27.705084581497797</v>
      </c>
      <c r="I21" s="61">
        <f>I17/(1+$C$57)^2</f>
        <v>-23.954815346697977</v>
      </c>
      <c r="J21" s="61">
        <f>J17/(1+$C$57)^3</f>
        <v>-19.952954766585822</v>
      </c>
      <c r="K21" s="61">
        <f>K17/(1+$C$57)^4</f>
        <v>-11.624540567851906</v>
      </c>
      <c r="L21" s="61">
        <f>L17/(1+$C$57)^5</f>
        <v>-6.1451315777190683</v>
      </c>
      <c r="M21" s="61">
        <f>M17/(1+$C$57)^6</f>
        <v>2.7973433026327625</v>
      </c>
      <c r="N21" s="61">
        <f>N17/(1+$C$57)^7</f>
        <v>7.6403209146797932</v>
      </c>
      <c r="O21" s="61">
        <f>O17/(1+$C$57)^8</f>
        <v>14.136276582226929</v>
      </c>
      <c r="P21" s="61">
        <f>P17/(1+$C$57)^9</f>
        <v>22.418764623796012</v>
      </c>
      <c r="Q21" s="61">
        <f>Q17/(1+$C$57)^10</f>
        <v>26.665490962224336</v>
      </c>
      <c r="R21" s="62">
        <f>(R17/(C57-R12))/(1+C57)^10</f>
        <v>575.9746047840456</v>
      </c>
    </row>
    <row r="22" spans="1:18" x14ac:dyDescent="0.25">
      <c r="A22" s="2"/>
      <c r="C22" s="1" t="s">
        <v>38</v>
      </c>
      <c r="G22" s="6"/>
      <c r="H22" s="7"/>
      <c r="I22" s="6"/>
      <c r="J22" s="6"/>
      <c r="K22" s="6"/>
      <c r="L22" s="6"/>
      <c r="M22" s="6"/>
      <c r="N22" s="6"/>
      <c r="O22" s="6"/>
      <c r="P22" s="3"/>
      <c r="Q22" s="3"/>
      <c r="R22" s="3"/>
    </row>
    <row r="23" spans="1:18" x14ac:dyDescent="0.25">
      <c r="A23" s="2"/>
      <c r="C23" s="1" t="s">
        <v>39</v>
      </c>
      <c r="P23" s="3"/>
      <c r="Q23" s="3"/>
      <c r="R23" s="3"/>
    </row>
    <row r="24" spans="1:18" ht="16.5" thickBot="1" x14ac:dyDescent="0.3">
      <c r="P24" s="3"/>
      <c r="Q24" s="3"/>
      <c r="R24" s="3"/>
    </row>
    <row r="25" spans="1:18" x14ac:dyDescent="0.25">
      <c r="A25" s="38" t="s">
        <v>28</v>
      </c>
      <c r="B25" s="39"/>
      <c r="C25" s="39"/>
      <c r="D25" s="40"/>
      <c r="E25" s="28"/>
      <c r="F25" s="39"/>
      <c r="G25" s="28"/>
      <c r="H25" s="28"/>
      <c r="I25" s="28"/>
      <c r="J25" s="29"/>
    </row>
    <row r="26" spans="1:18" x14ac:dyDescent="0.25">
      <c r="A26" s="41"/>
      <c r="B26" s="42"/>
      <c r="C26" s="42"/>
      <c r="D26" s="43"/>
      <c r="E26" s="42"/>
      <c r="F26" s="42"/>
      <c r="G26" s="31"/>
      <c r="H26" s="31"/>
      <c r="I26" s="31"/>
      <c r="J26" s="32"/>
    </row>
    <row r="27" spans="1:18" x14ac:dyDescent="0.25">
      <c r="A27" s="41" t="s">
        <v>7</v>
      </c>
      <c r="B27" s="42" t="s">
        <v>35</v>
      </c>
      <c r="C27" s="42"/>
      <c r="D27" s="44">
        <v>0.09</v>
      </c>
      <c r="E27" s="31"/>
      <c r="F27" s="42"/>
      <c r="G27" s="31"/>
      <c r="H27" s="31"/>
      <c r="I27" s="31"/>
      <c r="J27" s="32"/>
    </row>
    <row r="28" spans="1:18" x14ac:dyDescent="0.25">
      <c r="A28" s="41"/>
      <c r="B28" s="42" t="s">
        <v>36</v>
      </c>
      <c r="C28" s="42"/>
      <c r="D28" s="44">
        <v>4.4999999999999998E-2</v>
      </c>
      <c r="E28" s="31"/>
      <c r="F28" s="42"/>
      <c r="G28" s="31"/>
      <c r="H28" s="31"/>
      <c r="I28" s="31"/>
      <c r="J28" s="32"/>
    </row>
    <row r="29" spans="1:18" x14ac:dyDescent="0.25">
      <c r="A29" s="41"/>
      <c r="B29" s="42" t="s">
        <v>37</v>
      </c>
      <c r="C29" s="42"/>
      <c r="D29" s="44"/>
      <c r="E29" s="31"/>
      <c r="F29" s="42"/>
      <c r="G29" s="31"/>
      <c r="H29" s="31"/>
      <c r="I29" s="31"/>
      <c r="J29" s="32"/>
    </row>
    <row r="30" spans="1:18" x14ac:dyDescent="0.25">
      <c r="A30" s="41"/>
      <c r="B30" s="42"/>
      <c r="C30" s="42"/>
      <c r="D30" s="45"/>
      <c r="E30" s="31"/>
      <c r="F30" s="42"/>
      <c r="G30" s="31"/>
      <c r="H30" s="31"/>
      <c r="I30" s="31"/>
      <c r="J30" s="32"/>
    </row>
    <row r="31" spans="1:18" x14ac:dyDescent="0.25">
      <c r="A31" s="41"/>
      <c r="B31" s="42"/>
      <c r="C31" s="42"/>
      <c r="D31" s="45"/>
      <c r="E31" s="31"/>
      <c r="F31" s="42"/>
      <c r="G31" s="31"/>
      <c r="H31" s="31"/>
      <c r="I31" s="31"/>
      <c r="J31" s="32"/>
    </row>
    <row r="32" spans="1:18" x14ac:dyDescent="0.25">
      <c r="A32" s="41"/>
      <c r="B32" s="42" t="s">
        <v>8</v>
      </c>
      <c r="C32" s="42"/>
      <c r="D32" s="46">
        <f>D27+D28+D29</f>
        <v>0.13500000000000001</v>
      </c>
      <c r="E32" s="31"/>
      <c r="F32" s="42"/>
      <c r="G32" s="31"/>
      <c r="H32" s="31"/>
      <c r="I32" s="31"/>
      <c r="J32" s="32"/>
    </row>
    <row r="33" spans="1:10" x14ac:dyDescent="0.25">
      <c r="A33" s="41"/>
      <c r="B33" s="42"/>
      <c r="C33" s="42"/>
      <c r="D33" s="43"/>
      <c r="E33" s="31"/>
      <c r="F33" s="42"/>
      <c r="G33" s="31"/>
      <c r="H33" s="31"/>
      <c r="I33" s="31"/>
      <c r="J33" s="32"/>
    </row>
    <row r="34" spans="1:10" x14ac:dyDescent="0.25">
      <c r="A34" s="30"/>
      <c r="B34" s="31"/>
      <c r="C34" s="47"/>
      <c r="D34" s="31"/>
      <c r="E34" s="42"/>
      <c r="F34" s="42"/>
      <c r="G34" s="31"/>
      <c r="H34" s="31"/>
      <c r="I34" s="31"/>
      <c r="J34" s="32"/>
    </row>
    <row r="35" spans="1:10" x14ac:dyDescent="0.25">
      <c r="A35" s="30"/>
      <c r="B35" s="31"/>
      <c r="C35" s="31"/>
      <c r="D35" s="31"/>
      <c r="E35" s="31"/>
      <c r="F35" s="31"/>
      <c r="G35" s="31"/>
      <c r="H35" s="31"/>
      <c r="I35" s="31"/>
      <c r="J35" s="32"/>
    </row>
    <row r="36" spans="1:10" x14ac:dyDescent="0.25">
      <c r="A36" s="41" t="s">
        <v>9</v>
      </c>
      <c r="B36" s="42" t="s">
        <v>42</v>
      </c>
      <c r="C36" s="48"/>
      <c r="D36" s="33">
        <v>0</v>
      </c>
      <c r="E36" s="31"/>
      <c r="F36" s="31"/>
      <c r="G36" s="31"/>
      <c r="H36" s="31"/>
      <c r="I36" s="31"/>
      <c r="J36" s="32"/>
    </row>
    <row r="37" spans="1:10" ht="15.75" hidden="1" customHeight="1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2"/>
    </row>
    <row r="38" spans="1:10" ht="15.75" hidden="1" customHeight="1" x14ac:dyDescent="0.25">
      <c r="A38" s="30"/>
      <c r="B38" s="31" t="s">
        <v>10</v>
      </c>
      <c r="C38" s="31"/>
      <c r="D38" s="49">
        <v>0.08</v>
      </c>
      <c r="E38" s="31"/>
      <c r="F38" s="31"/>
      <c r="G38" s="31"/>
      <c r="H38" s="31"/>
      <c r="I38" s="31"/>
      <c r="J38" s="32"/>
    </row>
    <row r="39" spans="1:10" ht="15.75" hidden="1" customHeight="1" x14ac:dyDescent="0.25">
      <c r="A39" s="30"/>
      <c r="B39" s="31"/>
      <c r="C39" s="31"/>
      <c r="D39" s="31"/>
      <c r="E39" s="31"/>
      <c r="F39" s="31"/>
      <c r="G39" s="31"/>
      <c r="H39" s="31"/>
      <c r="I39" s="31"/>
      <c r="J39" s="32"/>
    </row>
    <row r="40" spans="1:10" ht="15.75" hidden="1" customHeight="1" x14ac:dyDescent="0.25">
      <c r="A40" s="30"/>
      <c r="B40" s="31"/>
      <c r="C40" s="31"/>
      <c r="D40" s="31"/>
      <c r="E40" s="31"/>
      <c r="F40" s="31"/>
      <c r="G40" s="31"/>
      <c r="H40" s="31"/>
      <c r="I40" s="31"/>
      <c r="J40" s="32"/>
    </row>
    <row r="41" spans="1:10" ht="15.75" hidden="1" customHeight="1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2"/>
    </row>
    <row r="42" spans="1:10" hidden="1" x14ac:dyDescent="0.25">
      <c r="A42" s="30"/>
      <c r="B42" s="50"/>
      <c r="C42" s="50">
        <v>0.12</v>
      </c>
      <c r="D42" s="50" t="e">
        <f>((NPV(C42,$H$17:$R$17)+(#REF!*(1+#REF!)/(C42-#REF!))/(1+C42)^(2040-2020))/$D$52)/$C$53-1</f>
        <v>#REF!</v>
      </c>
      <c r="E42" s="31"/>
      <c r="F42" s="31"/>
      <c r="G42" s="31"/>
      <c r="H42" s="31"/>
      <c r="I42" s="31"/>
      <c r="J42" s="32"/>
    </row>
    <row r="43" spans="1:10" hidden="1" x14ac:dyDescent="0.25">
      <c r="A43" s="30"/>
      <c r="B43" s="50"/>
      <c r="C43" s="50">
        <v>0.14000000000000001</v>
      </c>
      <c r="D43" s="50" t="e">
        <f>((NPV(C43,$H$17:$R$17)+(#REF!*(1+#REF!)/(C43-#REF!))/(1+C43)^(2040-2020))/$D$52)/$C$53-1</f>
        <v>#REF!</v>
      </c>
      <c r="E43" s="31"/>
      <c r="F43" s="31"/>
      <c r="G43" s="31"/>
      <c r="H43" s="31"/>
      <c r="I43" s="31"/>
      <c r="J43" s="32"/>
    </row>
    <row r="44" spans="1:10" hidden="1" x14ac:dyDescent="0.25">
      <c r="A44" s="30"/>
      <c r="B44" s="50"/>
      <c r="C44" s="50">
        <v>0.16</v>
      </c>
      <c r="D44" s="50" t="e">
        <f>((NPV(C44,$H$17:$R$17)+(#REF!*(1+#REF!)/(C44-#REF!))/(1+C44)^(2040-2020))/$D$52)/$C$53-1</f>
        <v>#REF!</v>
      </c>
      <c r="E44" s="31"/>
      <c r="F44" s="31"/>
      <c r="G44" s="31"/>
      <c r="H44" s="31"/>
      <c r="I44" s="31"/>
      <c r="J44" s="32"/>
    </row>
    <row r="45" spans="1:10" hidden="1" x14ac:dyDescent="0.25">
      <c r="A45" s="30"/>
      <c r="B45" s="50"/>
      <c r="C45" s="50">
        <v>0.18</v>
      </c>
      <c r="D45" s="50" t="e">
        <f>((NPV(C45,$H$17:$R$17)+(#REF!*(1+#REF!)/(C45-#REF!))/(1+C45)^(2040-2020))/$D$52)/$C$53-1</f>
        <v>#REF!</v>
      </c>
      <c r="E45" s="31"/>
      <c r="F45" s="31"/>
      <c r="G45" s="31"/>
      <c r="H45" s="31"/>
      <c r="I45" s="31"/>
      <c r="J45" s="32"/>
    </row>
    <row r="46" spans="1:10" hidden="1" x14ac:dyDescent="0.25">
      <c r="A46" s="30"/>
      <c r="B46" s="50"/>
      <c r="C46" s="50">
        <v>0.2</v>
      </c>
      <c r="D46" s="50" t="e">
        <f>((NPV(C46,$H$17:$R$17)+(#REF!*(1+#REF!)/(C46-#REF!))/(1+C46)^(2040-2020))/$D$52)/$C$53-1</f>
        <v>#REF!</v>
      </c>
      <c r="E46" s="31"/>
      <c r="F46" s="31"/>
      <c r="G46" s="31"/>
      <c r="H46" s="31"/>
      <c r="I46" s="31"/>
      <c r="J46" s="32"/>
    </row>
    <row r="47" spans="1:10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2"/>
    </row>
    <row r="48" spans="1:10" ht="16.5" thickBot="1" x14ac:dyDescent="0.3">
      <c r="A48" s="34"/>
      <c r="B48" s="35" t="s">
        <v>29</v>
      </c>
      <c r="C48" s="35"/>
      <c r="D48" s="51">
        <f>D32+D36</f>
        <v>0.13500000000000001</v>
      </c>
      <c r="E48" s="35"/>
      <c r="F48" s="35"/>
      <c r="G48" s="35"/>
      <c r="H48" s="35"/>
      <c r="I48" s="35"/>
      <c r="J48" s="36"/>
    </row>
    <row r="50" spans="1:10" x14ac:dyDescent="0.25">
      <c r="A50" s="20"/>
      <c r="B50" s="21"/>
      <c r="C50" s="22">
        <v>44547</v>
      </c>
      <c r="D50" s="23" t="s">
        <v>3</v>
      </c>
      <c r="E50" s="24"/>
      <c r="F50" s="25"/>
      <c r="G50" s="26"/>
      <c r="H50" s="26"/>
      <c r="I50" s="26"/>
    </row>
    <row r="51" spans="1:10" x14ac:dyDescent="0.25">
      <c r="A51" s="52" t="s">
        <v>0</v>
      </c>
      <c r="B51" s="53" t="s">
        <v>5</v>
      </c>
      <c r="C51" s="84">
        <f>C52*C53</f>
        <v>590.50195327999995</v>
      </c>
      <c r="D51" s="55">
        <f>SUM(H21:R21)</f>
        <v>560.25027432925287</v>
      </c>
      <c r="E51" s="53" t="s">
        <v>32</v>
      </c>
    </row>
    <row r="52" spans="1:10" x14ac:dyDescent="0.25">
      <c r="A52" s="52"/>
      <c r="B52" s="53" t="s">
        <v>13</v>
      </c>
      <c r="C52" s="54">
        <v>63.631675999999999</v>
      </c>
      <c r="D52" s="54">
        <f>C52*1.1</f>
        <v>69.99484360000001</v>
      </c>
      <c r="E52" s="53"/>
    </row>
    <row r="53" spans="1:10" x14ac:dyDescent="0.25">
      <c r="A53" s="52"/>
      <c r="B53" s="53" t="s">
        <v>15</v>
      </c>
      <c r="C53" s="66">
        <v>9.2799999999999994</v>
      </c>
      <c r="D53" s="66">
        <f>D51/(D52)</f>
        <v>8.0041649572205458</v>
      </c>
      <c r="E53" s="53" t="s">
        <v>32</v>
      </c>
    </row>
    <row r="54" spans="1:10" x14ac:dyDescent="0.25">
      <c r="A54" s="52"/>
      <c r="B54" s="53" t="s">
        <v>2</v>
      </c>
      <c r="C54" s="53"/>
      <c r="D54" s="67">
        <f>IF(C53/D53-1&gt;0,0,C53/D53-1)</f>
        <v>0</v>
      </c>
      <c r="E54" s="53"/>
    </row>
    <row r="55" spans="1:10" x14ac:dyDescent="0.25">
      <c r="A55" s="52"/>
      <c r="B55" s="53" t="s">
        <v>17</v>
      </c>
      <c r="C55" s="53"/>
      <c r="D55" s="68">
        <f>IF(C53/D53-1&lt;0,0,C53/D53-1)</f>
        <v>0.15939639545141127</v>
      </c>
      <c r="E55" s="53"/>
    </row>
    <row r="56" spans="1:10" x14ac:dyDescent="0.25">
      <c r="A56" s="53"/>
      <c r="B56" s="53"/>
      <c r="C56" s="53"/>
      <c r="D56" s="56"/>
      <c r="E56" s="56"/>
    </row>
    <row r="57" spans="1:10" x14ac:dyDescent="0.25">
      <c r="A57" s="56" t="s">
        <v>28</v>
      </c>
      <c r="B57" s="53"/>
      <c r="C57" s="58">
        <f>D48</f>
        <v>0.13500000000000001</v>
      </c>
      <c r="D57" s="57"/>
      <c r="E57" s="53"/>
      <c r="J57" s="83"/>
    </row>
    <row r="58" spans="1:10" ht="16.5" thickBot="1" x14ac:dyDescent="0.3">
      <c r="A58" s="27"/>
      <c r="C58" s="77"/>
      <c r="D58" s="78"/>
    </row>
    <row r="59" spans="1:10" x14ac:dyDescent="0.25">
      <c r="A59" s="69" t="s">
        <v>27</v>
      </c>
      <c r="B59" s="28"/>
      <c r="C59" s="80">
        <v>27</v>
      </c>
      <c r="D59" s="28"/>
      <c r="E59" s="29"/>
    </row>
    <row r="60" spans="1:10" x14ac:dyDescent="0.25">
      <c r="A60" s="30" t="s">
        <v>30</v>
      </c>
      <c r="B60" s="31"/>
      <c r="C60" s="81">
        <f>E62/R11</f>
        <v>4.4549999999999992</v>
      </c>
      <c r="D60" s="31"/>
      <c r="E60" s="32"/>
    </row>
    <row r="61" spans="1:10" x14ac:dyDescent="0.25">
      <c r="A61" s="30"/>
      <c r="B61" s="31"/>
      <c r="C61" s="81"/>
      <c r="D61" s="31"/>
      <c r="E61" s="32"/>
    </row>
    <row r="62" spans="1:10" x14ac:dyDescent="0.25">
      <c r="A62" s="30" t="s">
        <v>20</v>
      </c>
      <c r="B62" s="31"/>
      <c r="C62" s="81"/>
      <c r="D62" s="31"/>
      <c r="E62" s="70">
        <f>R17*C59</f>
        <v>3034.50882166777</v>
      </c>
    </row>
    <row r="63" spans="1:10" x14ac:dyDescent="0.25">
      <c r="A63" s="30"/>
      <c r="B63" s="31"/>
      <c r="C63" s="81"/>
      <c r="D63" s="31"/>
      <c r="E63" s="32"/>
    </row>
    <row r="64" spans="1:10" x14ac:dyDescent="0.25">
      <c r="A64" s="30" t="s">
        <v>21</v>
      </c>
      <c r="B64" s="31"/>
      <c r="C64" s="82">
        <v>0</v>
      </c>
      <c r="D64" s="31"/>
      <c r="E64" s="32"/>
    </row>
    <row r="65" spans="1:5" x14ac:dyDescent="0.25">
      <c r="A65" s="30"/>
      <c r="B65" s="31"/>
      <c r="C65" s="31"/>
      <c r="D65" s="31"/>
      <c r="E65" s="32"/>
    </row>
    <row r="66" spans="1:5" x14ac:dyDescent="0.25">
      <c r="A66" s="30" t="s">
        <v>22</v>
      </c>
      <c r="B66" s="31"/>
      <c r="C66" s="31"/>
      <c r="D66" s="31"/>
      <c r="E66" s="70">
        <f>SUM(H17:R17)*C64</f>
        <v>0</v>
      </c>
    </row>
    <row r="67" spans="1:5" x14ac:dyDescent="0.25">
      <c r="A67" s="30"/>
      <c r="B67" s="31"/>
      <c r="C67" s="31"/>
      <c r="D67" s="31"/>
      <c r="E67" s="71"/>
    </row>
    <row r="68" spans="1:5" x14ac:dyDescent="0.25">
      <c r="A68" s="72" t="s">
        <v>23</v>
      </c>
      <c r="B68" s="31"/>
      <c r="C68" s="31"/>
      <c r="D68" s="31"/>
      <c r="E68" s="73">
        <f>(E66*0.25)*-1</f>
        <v>0</v>
      </c>
    </row>
    <row r="69" spans="1:5" x14ac:dyDescent="0.25">
      <c r="A69" s="30"/>
      <c r="B69" s="31"/>
      <c r="C69" s="50"/>
      <c r="D69" s="50"/>
      <c r="E69" s="74"/>
    </row>
    <row r="70" spans="1:5" x14ac:dyDescent="0.25">
      <c r="A70" s="30" t="s">
        <v>24</v>
      </c>
      <c r="B70" s="31"/>
      <c r="C70" s="31"/>
      <c r="D70" s="31"/>
      <c r="E70" s="70">
        <f>SUM(E62:E68)</f>
        <v>3034.50882166777</v>
      </c>
    </row>
    <row r="71" spans="1:5" x14ac:dyDescent="0.25">
      <c r="A71" s="30"/>
      <c r="B71" s="31"/>
      <c r="C71" s="31"/>
      <c r="D71" s="31"/>
      <c r="E71" s="70"/>
    </row>
    <row r="72" spans="1:5" x14ac:dyDescent="0.25">
      <c r="A72" s="30" t="s">
        <v>25</v>
      </c>
      <c r="B72" s="31"/>
      <c r="C72" s="31"/>
      <c r="D72" s="31"/>
      <c r="E72" s="74">
        <f>E70/C51-1</f>
        <v>4.1388633091089684</v>
      </c>
    </row>
    <row r="73" spans="1:5" x14ac:dyDescent="0.25">
      <c r="A73" s="30"/>
      <c r="B73" s="31"/>
      <c r="C73" s="31"/>
      <c r="D73" s="31"/>
      <c r="E73" s="32"/>
    </row>
    <row r="74" spans="1:5" ht="16.5" thickBot="1" x14ac:dyDescent="0.3">
      <c r="A74" s="75" t="s">
        <v>26</v>
      </c>
      <c r="B74" s="76"/>
      <c r="C74" s="76"/>
      <c r="D74" s="76"/>
      <c r="E74" s="79">
        <f>(E70/C51)^(1/10)-1</f>
        <v>0.17784110518813923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4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2:D46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chris_grca1ny</cp:lastModifiedBy>
  <cp:lastPrinted>2021-08-03T18:16:56Z</cp:lastPrinted>
  <dcterms:created xsi:type="dcterms:W3CDTF">2020-02-09T06:30:31Z</dcterms:created>
  <dcterms:modified xsi:type="dcterms:W3CDTF">2021-12-17T21:20:49Z</dcterms:modified>
</cp:coreProperties>
</file>