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Zalando\"/>
    </mc:Choice>
  </mc:AlternateContent>
  <bookViews>
    <workbookView xWindow="0" yWindow="0" windowWidth="24000" windowHeight="9630" activeTab="1"/>
  </bookViews>
  <sheets>
    <sheet name="Pessimistisch" sheetId="23" r:id="rId1"/>
    <sheet name="Optimistisch" sheetId="2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3" l="1"/>
  <c r="J11" i="23" s="1"/>
  <c r="K11" i="23" s="1"/>
  <c r="C55" i="23"/>
  <c r="D50" i="23"/>
  <c r="C49" i="23"/>
  <c r="D46" i="23"/>
  <c r="D30" i="23"/>
  <c r="G16" i="23"/>
  <c r="F16" i="23"/>
  <c r="G13" i="23"/>
  <c r="F13" i="23"/>
  <c r="E13" i="23"/>
  <c r="D13" i="23"/>
  <c r="C13" i="23"/>
  <c r="G12" i="23"/>
  <c r="F12" i="23"/>
  <c r="E12" i="23"/>
  <c r="D12" i="23"/>
  <c r="F16" i="21" l="1"/>
  <c r="G16" i="21"/>
  <c r="K15" i="21"/>
  <c r="J15" i="21"/>
  <c r="H15" i="21"/>
  <c r="I15" i="21"/>
  <c r="D13" i="21"/>
  <c r="E13" i="21"/>
  <c r="F13" i="21"/>
  <c r="G13" i="21"/>
  <c r="C13" i="21"/>
  <c r="G12" i="21" l="1"/>
  <c r="F12" i="21"/>
  <c r="E12" i="21"/>
  <c r="D12" i="21"/>
  <c r="D50" i="21"/>
  <c r="L11" i="21"/>
  <c r="L14" i="21" s="1"/>
  <c r="L15" i="21" s="1"/>
  <c r="L19" i="21" s="1"/>
  <c r="C49" i="21"/>
  <c r="D30" i="21"/>
  <c r="D46" i="21"/>
  <c r="C55" i="21"/>
  <c r="I19" i="21"/>
  <c r="K14" i="21"/>
  <c r="J14" i="21"/>
  <c r="I14" i="21"/>
  <c r="H14" i="21"/>
  <c r="K12" i="21"/>
  <c r="J12" i="21"/>
  <c r="I12" i="21"/>
  <c r="H12" i="21"/>
  <c r="J19" i="21"/>
  <c r="M11" i="21" l="1"/>
  <c r="K19" i="21"/>
  <c r="H19" i="21"/>
  <c r="M14" i="21" l="1"/>
  <c r="M15" i="21" s="1"/>
  <c r="N11" i="21"/>
  <c r="M19" i="21" l="1"/>
  <c r="N14" i="21"/>
  <c r="N15" i="21" s="1"/>
  <c r="N19" i="21" s="1"/>
  <c r="O11" i="21"/>
  <c r="O14" i="21" l="1"/>
  <c r="O15" i="21" s="1"/>
  <c r="O19" i="21" s="1"/>
  <c r="P11" i="21"/>
  <c r="P14" i="21" l="1"/>
  <c r="P15" i="21" s="1"/>
  <c r="P19" i="21" s="1"/>
  <c r="Q11" i="21"/>
  <c r="Q14" i="21" l="1"/>
  <c r="Q15" i="21" s="1"/>
  <c r="Q19" i="21" s="1"/>
  <c r="R11" i="21"/>
  <c r="R14" i="21" s="1"/>
  <c r="R15" i="21" s="1"/>
  <c r="R19" i="21" l="1"/>
  <c r="D49" i="21" s="1"/>
  <c r="D51" i="21" s="1"/>
  <c r="E60" i="21"/>
  <c r="C58" i="21" s="1"/>
  <c r="E64" i="21"/>
  <c r="E66" i="21" s="1"/>
  <c r="D43" i="21"/>
  <c r="D42" i="21"/>
  <c r="D41" i="21"/>
  <c r="D44" i="21"/>
  <c r="D40" i="21"/>
  <c r="E68" i="21" l="1"/>
  <c r="E70" i="21" s="1"/>
  <c r="D52" i="21"/>
  <c r="D53" i="21"/>
  <c r="E72" i="21" l="1"/>
  <c r="H16" i="23"/>
  <c r="H14" i="23"/>
  <c r="J14" i="23"/>
  <c r="J15" i="23"/>
  <c r="J16" i="23" s="1"/>
  <c r="K15" i="23"/>
  <c r="K14" i="23"/>
  <c r="I14" i="23"/>
  <c r="I15" i="23"/>
  <c r="I16" i="23"/>
  <c r="H15" i="23"/>
  <c r="H19" i="23"/>
  <c r="L11" i="23"/>
  <c r="L14" i="23" s="1"/>
  <c r="L15" i="23" s="1"/>
  <c r="H12" i="23"/>
  <c r="M11" i="23" l="1"/>
  <c r="N11" i="23" s="1"/>
  <c r="N14" i="23" s="1"/>
  <c r="N15" i="23" s="1"/>
  <c r="N19" i="23" s="1"/>
  <c r="K16" i="23"/>
  <c r="L19" i="23"/>
  <c r="I19" i="23"/>
  <c r="K19" i="23"/>
  <c r="J19" i="23"/>
  <c r="M14" i="23" l="1"/>
  <c r="M15" i="23" s="1"/>
  <c r="M19" i="23" s="1"/>
  <c r="O11" i="23"/>
  <c r="P11" i="23" s="1"/>
  <c r="O14" i="23" l="1"/>
  <c r="O15" i="23" s="1"/>
  <c r="O19" i="23" s="1"/>
  <c r="P14" i="23"/>
  <c r="P15" i="23" s="1"/>
  <c r="P19" i="23" s="1"/>
  <c r="Q11" i="23"/>
  <c r="Q14" i="23" l="1"/>
  <c r="Q15" i="23" s="1"/>
  <c r="Q19" i="23" s="1"/>
  <c r="R11" i="23"/>
  <c r="R14" i="23" s="1"/>
  <c r="R15" i="23" s="1"/>
  <c r="D42" i="23"/>
  <c r="E64" i="23" l="1"/>
  <c r="E66" i="23" s="1"/>
  <c r="D44" i="23"/>
  <c r="D40" i="23"/>
  <c r="D41" i="23"/>
  <c r="D43" i="23"/>
  <c r="R19" i="23"/>
  <c r="D49" i="23" s="1"/>
  <c r="D51" i="23" s="1"/>
  <c r="E60" i="23"/>
  <c r="D52" i="23" l="1"/>
  <c r="D53" i="23"/>
  <c r="E68" i="23"/>
  <c r="C58" i="23"/>
  <c r="E70" i="23" l="1"/>
  <c r="E72" i="23"/>
</calcChain>
</file>

<file path=xl/sharedStrings.xml><?xml version="1.0" encoding="utf-8"?>
<sst xmlns="http://schemas.openxmlformats.org/spreadsheetml/2006/main" count="84" uniqueCount="40">
  <si>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</si>
  <si>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</si>
  <si>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</si>
  <si>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</si>
  <si>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</si>
  <si>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</si>
  <si>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</si>
  <si>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</si>
  <si>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</si>
  <si>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</si>
  <si>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</si>
  <si>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</si>
  <si>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</si>
  <si>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</si>
  <si>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</si>
  <si>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</si>
  <si>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2031ff.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</si>
  <si>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</si>
  <si>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</si>
  <si>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</si>
  <si>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</si>
  <si>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</si>
  <si>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</si>
  <si>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</si>
  <si>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</si>
  <si>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</si>
  <si>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</si>
  <si>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</si>
  <si>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</si>
  <si>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</si>
  <si>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</si>
  <si>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Gewinn (25% Zinsen/Steuern/sonstiges)</t>
  </si>
  <si>
    <t xml:space="preserve">Optimistische Annahmen für </t>
  </si>
  <si>
    <t>(ab 2025)</t>
  </si>
  <si>
    <t>Sicherheitszuschlag, starke Konkurrenz</t>
  </si>
  <si>
    <t>EK Quote relativ niedrig, aber viel Cash vorhanden.</t>
  </si>
  <si>
    <t>30 % Abschlag vom EBIT für Zins und Steuern</t>
  </si>
  <si>
    <t>Online Mode / E-Commerce</t>
  </si>
  <si>
    <t>EUR</t>
  </si>
  <si>
    <t>Alle Angaben in Mio. Zalando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</si>
</sst>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3" fontId="0" fillId="5" borderId="0" xfId="0" applyNumberFormat="1" applyFont="1" applyFill="1"/>
    <xf numFmtId="3" fontId="0" fillId="5" borderId="0" xfId="0" applyNumberFormat="1" applyFill="1"/>
    <xf numFmtId="165" fontId="0" fillId="7" borderId="0" xfId="1" applyNumberFormat="1" applyFon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opLeftCell="A28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32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39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4">
        <v>2021</v>
      </c>
      <c r="I10" s="64">
        <v>2022</v>
      </c>
      <c r="J10" s="64">
        <v>2023</v>
      </c>
      <c r="K10" s="64">
        <v>2024</v>
      </c>
      <c r="L10" s="64">
        <v>2025</v>
      </c>
      <c r="M10" s="64">
        <v>2026</v>
      </c>
      <c r="N10" s="64">
        <v>2027</v>
      </c>
      <c r="O10" s="64">
        <v>2028</v>
      </c>
      <c r="P10" s="64">
        <v>2029</v>
      </c>
      <c r="Q10" s="64">
        <v>2030</v>
      </c>
      <c r="R10" s="63" t="s">
        <v>16</v>
      </c>
    </row>
    <row r="11" spans="1:28" x14ac:dyDescent="0.25">
      <c r="A11" s="5"/>
      <c r="B11" s="4" t="s">
        <v>4</v>
      </c>
      <c r="C11" s="85">
        <v>3638.9859537800012</v>
      </c>
      <c r="D11" s="85">
        <v>4489.0180707000009</v>
      </c>
      <c r="E11" s="85">
        <v>5387.8889254400001</v>
      </c>
      <c r="F11" s="85">
        <v>6482.5</v>
      </c>
      <c r="G11" s="85">
        <v>7982</v>
      </c>
      <c r="H11" s="14">
        <v>10289.52</v>
      </c>
      <c r="I11" s="14">
        <f t="shared" ref="I11" si="0">H11*(1+I12)</f>
        <v>11832.948</v>
      </c>
      <c r="J11" s="14">
        <f t="shared" ref="J11" si="1">I11*(1+J12)</f>
        <v>13607.8902</v>
      </c>
      <c r="K11" s="14">
        <f t="shared" ref="K11" si="2">J11*(1+K12)</f>
        <v>15376.915925999998</v>
      </c>
      <c r="L11" s="14">
        <f t="shared" ref="L11:R11" si="3">K11*(1+L12)</f>
        <v>17683.453314899994</v>
      </c>
      <c r="M11" s="14">
        <f t="shared" si="3"/>
        <v>20335.971312134992</v>
      </c>
      <c r="N11" s="14">
        <f t="shared" si="3"/>
        <v>19319.172746528242</v>
      </c>
      <c r="O11" s="14">
        <f t="shared" si="3"/>
        <v>22796.623840903325</v>
      </c>
      <c r="P11" s="14">
        <f t="shared" si="3"/>
        <v>24620.353748175592</v>
      </c>
      <c r="Q11" s="14">
        <f t="shared" si="3"/>
        <v>26589.98204802964</v>
      </c>
      <c r="R11" s="14">
        <f t="shared" si="3"/>
        <v>27520.631419710677</v>
      </c>
    </row>
    <row r="12" spans="1:28" x14ac:dyDescent="0.25">
      <c r="A12" s="5"/>
      <c r="B12" s="4" t="s">
        <v>1</v>
      </c>
      <c r="C12" s="12"/>
      <c r="D12" s="12">
        <f t="shared" ref="D12:H12" si="4">D11/C11-1</f>
        <v>0.23359038141849053</v>
      </c>
      <c r="E12" s="12">
        <f t="shared" si="4"/>
        <v>0.20023774477696255</v>
      </c>
      <c r="F12" s="12">
        <f t="shared" si="4"/>
        <v>0.2031614032337552</v>
      </c>
      <c r="G12" s="12">
        <f t="shared" si="4"/>
        <v>0.23131507905900506</v>
      </c>
      <c r="H12" s="65">
        <f t="shared" si="4"/>
        <v>0.28909045352042106</v>
      </c>
      <c r="I12" s="65">
        <v>0.15</v>
      </c>
      <c r="J12" s="65">
        <v>0.15</v>
      </c>
      <c r="K12" s="65">
        <v>0.13</v>
      </c>
      <c r="L12" s="65">
        <v>0.15</v>
      </c>
      <c r="M12" s="65">
        <v>0.15</v>
      </c>
      <c r="N12" s="65">
        <v>-0.05</v>
      </c>
      <c r="O12" s="15">
        <v>0.18</v>
      </c>
      <c r="P12" s="15">
        <v>0.08</v>
      </c>
      <c r="Q12" s="15">
        <v>0.08</v>
      </c>
      <c r="R12" s="15">
        <v>3.5000000000000003E-2</v>
      </c>
    </row>
    <row r="13" spans="1:28" ht="15.95" customHeight="1" x14ac:dyDescent="0.25">
      <c r="A13" s="5"/>
      <c r="B13" s="4" t="s">
        <v>18</v>
      </c>
      <c r="C13" s="12">
        <f>C14/C11</f>
        <v>5.6896172664511385E-2</v>
      </c>
      <c r="D13" s="12">
        <f t="shared" ref="D13:G13" si="5">D14/D11</f>
        <v>4.1798979528442547E-2</v>
      </c>
      <c r="E13" s="12">
        <f t="shared" si="5"/>
        <v>2.2123692906357673E-2</v>
      </c>
      <c r="F13" s="12">
        <f t="shared" si="5"/>
        <v>2.5576552256074046E-2</v>
      </c>
      <c r="G13" s="12">
        <f t="shared" si="5"/>
        <v>4.5978451515910797E-2</v>
      </c>
      <c r="H13" s="87">
        <v>4.1399999999999999E-2</v>
      </c>
      <c r="I13" s="87">
        <v>3.6900000000000002E-2</v>
      </c>
      <c r="J13" s="87">
        <v>3.6999999999999998E-2</v>
      </c>
      <c r="K13" s="87">
        <v>3.9E-2</v>
      </c>
      <c r="L13" s="87">
        <v>4.4999999999999998E-2</v>
      </c>
      <c r="M13" s="87">
        <v>4.8000000000000001E-2</v>
      </c>
      <c r="N13" s="87">
        <v>-4.2999999999999997E-2</v>
      </c>
      <c r="O13" s="87">
        <v>5.1999999999999998E-2</v>
      </c>
      <c r="P13" s="87">
        <v>5.5E-2</v>
      </c>
      <c r="Q13" s="87">
        <v>5.8000000000000003E-2</v>
      </c>
      <c r="R13" s="87">
        <v>6.3E-2</v>
      </c>
    </row>
    <row r="14" spans="1:28" ht="17.100000000000001" customHeight="1" x14ac:dyDescent="0.25">
      <c r="A14" s="5"/>
      <c r="B14" s="4" t="s">
        <v>19</v>
      </c>
      <c r="C14" s="85">
        <v>207.04437314999859</v>
      </c>
      <c r="D14" s="85">
        <v>187.63637443999801</v>
      </c>
      <c r="E14" s="85">
        <v>119.2</v>
      </c>
      <c r="F14" s="85">
        <v>165.8</v>
      </c>
      <c r="G14" s="85">
        <v>367</v>
      </c>
      <c r="H14" s="14">
        <f>H11*H13</f>
        <v>425.98612800000001</v>
      </c>
      <c r="I14" s="14">
        <f>I11*I13</f>
        <v>436.63578120000005</v>
      </c>
      <c r="J14" s="14">
        <f>J11*J13</f>
        <v>503.49193739999998</v>
      </c>
      <c r="K14" s="14">
        <f>K11*K13</f>
        <v>599.69972111399989</v>
      </c>
      <c r="L14" s="14">
        <f t="shared" ref="L14:R14" si="6">L11*L13</f>
        <v>795.75539917049969</v>
      </c>
      <c r="M14" s="14">
        <f t="shared" si="6"/>
        <v>976.1266229824796</v>
      </c>
      <c r="N14" s="14">
        <f t="shared" si="6"/>
        <v>-830.72442810071436</v>
      </c>
      <c r="O14" s="14">
        <f>O11*O13</f>
        <v>1185.4244397269729</v>
      </c>
      <c r="P14" s="14">
        <f t="shared" si="6"/>
        <v>1354.1194561496575</v>
      </c>
      <c r="Q14" s="14">
        <f t="shared" si="6"/>
        <v>1542.2189587857192</v>
      </c>
      <c r="R14" s="14">
        <f t="shared" si="6"/>
        <v>1733.7997794417727</v>
      </c>
    </row>
    <row r="15" spans="1:28" ht="16.5" thickBot="1" x14ac:dyDescent="0.3">
      <c r="A15" s="13">
        <v>0.3</v>
      </c>
      <c r="B15" s="4" t="s">
        <v>31</v>
      </c>
      <c r="C15" s="86">
        <v>120.48667928999859</v>
      </c>
      <c r="D15" s="85">
        <v>101.56384589999811</v>
      </c>
      <c r="E15" s="85">
        <v>51.2</v>
      </c>
      <c r="F15" s="85">
        <v>99.7</v>
      </c>
      <c r="G15" s="85">
        <v>226.1</v>
      </c>
      <c r="H15" s="14">
        <f>H11*0.0243</f>
        <v>250.035336</v>
      </c>
      <c r="I15" s="14">
        <f>I11*0.0221</f>
        <v>261.50815080000001</v>
      </c>
      <c r="J15" s="14">
        <f>J11*0.0261</f>
        <v>355.16593422</v>
      </c>
      <c r="K15" s="14">
        <f>K11*0.0295</f>
        <v>453.61901981699992</v>
      </c>
      <c r="L15" s="14">
        <f t="shared" ref="L15:Q15" si="7">L14*(1-$A$15)</f>
        <v>557.02877941934969</v>
      </c>
      <c r="M15" s="14">
        <f t="shared" si="7"/>
        <v>683.28863608773565</v>
      </c>
      <c r="N15" s="14">
        <f t="shared" si="7"/>
        <v>-581.5070996705</v>
      </c>
      <c r="O15" s="14">
        <f t="shared" si="7"/>
        <v>829.79710780888092</v>
      </c>
      <c r="P15" s="14">
        <f t="shared" si="7"/>
        <v>947.88361930476015</v>
      </c>
      <c r="Q15" s="14">
        <f t="shared" si="7"/>
        <v>1079.5532711500034</v>
      </c>
      <c r="R15" s="14">
        <f>R14*(1-$A$15)</f>
        <v>1213.6598456092408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>
        <f t="shared" ref="F16:G16" si="8">F15/F14</f>
        <v>0.60132689987937271</v>
      </c>
      <c r="G16" s="19">
        <f t="shared" si="8"/>
        <v>0.61607629427792909</v>
      </c>
      <c r="H16" s="19">
        <f>H15/H14</f>
        <v>0.58695652173913038</v>
      </c>
      <c r="I16" s="19">
        <f>I15/I14</f>
        <v>0.59891598915989153</v>
      </c>
      <c r="J16" s="19">
        <f>J15/J14</f>
        <v>0.70540540540540542</v>
      </c>
      <c r="K16" s="19">
        <f>K15/K14</f>
        <v>0.75641025641025639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227.3048509090909</v>
      </c>
      <c r="I19" s="61">
        <f>I15/(1+$C$55)^2</f>
        <v>216.12243867768592</v>
      </c>
      <c r="J19" s="61">
        <f>J15/(1+$C$55)^3</f>
        <v>266.84142315552208</v>
      </c>
      <c r="K19" s="61">
        <f>K15/(1+$C$55)^4</f>
        <v>309.82789414452549</v>
      </c>
      <c r="L19" s="61">
        <f>L15/(1+$C$55)^5</f>
        <v>345.87104669908882</v>
      </c>
      <c r="M19" s="61">
        <f>M15/(1+$C$55)^6</f>
        <v>385.69862177352928</v>
      </c>
      <c r="N19" s="61">
        <f>N15/(1+$C$55)^7</f>
        <v>-298.40508900470962</v>
      </c>
      <c r="O19" s="61">
        <f>O15/(1+$C$55)^8</f>
        <v>387.10647486953457</v>
      </c>
      <c r="P19" s="61">
        <f>P15/(1+$C$55)^9</f>
        <v>401.99518544143967</v>
      </c>
      <c r="Q19" s="61">
        <f>Q15/(1+$C$55)^10</f>
        <v>416.21451927358322</v>
      </c>
      <c r="R19" s="62">
        <f>(R15/(C55-R12))/(1+C55)^10</f>
        <v>7198.7447557649866</v>
      </c>
    </row>
    <row r="20" spans="1:18" x14ac:dyDescent="0.25">
      <c r="A20" s="2"/>
      <c r="C20" s="1" t="s">
        <v>36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33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28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37</v>
      </c>
      <c r="C25" s="42"/>
      <c r="D25" s="44">
        <v>0.08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34</v>
      </c>
      <c r="C26" s="42"/>
      <c r="D26" s="44">
        <v>0.01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0.09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 t="s">
        <v>35</v>
      </c>
      <c r="C34" s="48"/>
      <c r="D34" s="33">
        <v>0.01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29</v>
      </c>
      <c r="C46" s="35"/>
      <c r="D46" s="51">
        <f>D30+D34</f>
        <v>9.9999999999999992E-2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44533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18786.112280000001</v>
      </c>
      <c r="D49" s="55">
        <f>SUM(H19:R19)</f>
        <v>9857.3221217042774</v>
      </c>
      <c r="E49" s="53" t="s">
        <v>38</v>
      </c>
    </row>
    <row r="50" spans="1:10" x14ac:dyDescent="0.25">
      <c r="A50" s="52"/>
      <c r="B50" s="53" t="s">
        <v>13</v>
      </c>
      <c r="C50" s="54">
        <v>251.017</v>
      </c>
      <c r="D50" s="54">
        <f>C50</f>
        <v>251.017</v>
      </c>
      <c r="E50" s="53"/>
    </row>
    <row r="51" spans="1:10" x14ac:dyDescent="0.25">
      <c r="A51" s="52"/>
      <c r="B51" s="53" t="s">
        <v>15</v>
      </c>
      <c r="C51" s="66">
        <v>74.84</v>
      </c>
      <c r="D51" s="66">
        <f>D49/(D50)</f>
        <v>39.269539998104818</v>
      </c>
      <c r="E51" s="53" t="s">
        <v>38</v>
      </c>
    </row>
    <row r="52" spans="1:10" x14ac:dyDescent="0.25">
      <c r="A52" s="52"/>
      <c r="B52" s="53" t="s">
        <v>2</v>
      </c>
      <c r="C52" s="53"/>
      <c r="D52" s="67">
        <f>IF(C51/D51-1&gt;0,0,C51/D51-1)</f>
        <v>0</v>
      </c>
      <c r="E52" s="53"/>
    </row>
    <row r="53" spans="1:10" x14ac:dyDescent="0.25">
      <c r="A53" s="52"/>
      <c r="B53" s="53" t="s">
        <v>17</v>
      </c>
      <c r="C53" s="53"/>
      <c r="D53" s="68">
        <f>IF(C51/D51-1&lt;0,0,C51/D51-1)</f>
        <v>0.90580281825587572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28</v>
      </c>
      <c r="B55" s="53"/>
      <c r="C55" s="58">
        <f>D46</f>
        <v>9.9999999999999992E-2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27</v>
      </c>
      <c r="B57" s="28"/>
      <c r="C57" s="80">
        <v>23</v>
      </c>
      <c r="D57" s="28"/>
      <c r="E57" s="29"/>
    </row>
    <row r="58" spans="1:10" x14ac:dyDescent="0.25">
      <c r="A58" s="30" t="s">
        <v>30</v>
      </c>
      <c r="B58" s="31"/>
      <c r="C58" s="81">
        <f>E60/R11</f>
        <v>1.0143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20</v>
      </c>
      <c r="B60" s="31"/>
      <c r="C60" s="81"/>
      <c r="D60" s="31"/>
      <c r="E60" s="70">
        <f>R15*C57</f>
        <v>27914.176449012539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21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22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23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24</v>
      </c>
      <c r="B68" s="31"/>
      <c r="C68" s="31"/>
      <c r="D68" s="31"/>
      <c r="E68" s="70">
        <f>SUM(E60:E66)</f>
        <v>27914.176449012539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25</v>
      </c>
      <c r="B70" s="31"/>
      <c r="C70" s="31"/>
      <c r="D70" s="31"/>
      <c r="E70" s="74">
        <f>E68/C49-1</f>
        <v>0.48589426236584465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26</v>
      </c>
      <c r="B72" s="76"/>
      <c r="C72" s="76"/>
      <c r="D72" s="76"/>
      <c r="E72" s="79">
        <f>(E68/C49)^(1/10)-1</f>
        <v>4.0396279740445129E-2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abSelected="1" zoomScale="90" zoomScaleNormal="90" workbookViewId="0">
      <selection activeCell="G21" sqref="G2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32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39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4">
        <v>2021</v>
      </c>
      <c r="I10" s="64">
        <v>2022</v>
      </c>
      <c r="J10" s="64">
        <v>2023</v>
      </c>
      <c r="K10" s="64">
        <v>2024</v>
      </c>
      <c r="L10" s="64">
        <v>2025</v>
      </c>
      <c r="M10" s="64">
        <v>2026</v>
      </c>
      <c r="N10" s="64">
        <v>2027</v>
      </c>
      <c r="O10" s="64">
        <v>2028</v>
      </c>
      <c r="P10" s="64">
        <v>2029</v>
      </c>
      <c r="Q10" s="64">
        <v>2030</v>
      </c>
      <c r="R10" s="63" t="s">
        <v>16</v>
      </c>
    </row>
    <row r="11" spans="1:28" x14ac:dyDescent="0.25">
      <c r="A11" s="5"/>
      <c r="B11" s="4" t="s">
        <v>4</v>
      </c>
      <c r="C11" s="85">
        <v>3638.9859537800012</v>
      </c>
      <c r="D11" s="85">
        <v>4489.0180707000009</v>
      </c>
      <c r="E11" s="85">
        <v>5387.8889254400001</v>
      </c>
      <c r="F11" s="85">
        <v>6482.5</v>
      </c>
      <c r="G11" s="85">
        <v>7982</v>
      </c>
      <c r="H11" s="14">
        <v>10289.52</v>
      </c>
      <c r="I11" s="14">
        <v>12178.08</v>
      </c>
      <c r="J11" s="14">
        <v>14381.2</v>
      </c>
      <c r="K11" s="14">
        <v>16458.5</v>
      </c>
      <c r="L11" s="14">
        <f t="shared" ref="L11:R11" si="0">K11*(1+L12)</f>
        <v>19421.03</v>
      </c>
      <c r="M11" s="14">
        <f t="shared" si="0"/>
        <v>22916.815399999996</v>
      </c>
      <c r="N11" s="14">
        <f t="shared" si="0"/>
        <v>26354.337709999993</v>
      </c>
      <c r="O11" s="14">
        <f t="shared" si="0"/>
        <v>30307.488366499991</v>
      </c>
      <c r="P11" s="14">
        <f t="shared" si="0"/>
        <v>33944.386970479994</v>
      </c>
      <c r="Q11" s="14">
        <f t="shared" si="0"/>
        <v>38017.713406937597</v>
      </c>
      <c r="R11" s="14">
        <f t="shared" si="0"/>
        <v>39538.4219432151</v>
      </c>
    </row>
    <row r="12" spans="1:28" x14ac:dyDescent="0.25">
      <c r="A12" s="5"/>
      <c r="B12" s="4" t="s">
        <v>1</v>
      </c>
      <c r="C12" s="12"/>
      <c r="D12" s="12">
        <f t="shared" ref="D12:G12" si="1">D11/C11-1</f>
        <v>0.23359038141849053</v>
      </c>
      <c r="E12" s="12">
        <f t="shared" si="1"/>
        <v>0.20023774477696255</v>
      </c>
      <c r="F12" s="12">
        <f t="shared" si="1"/>
        <v>0.2031614032337552</v>
      </c>
      <c r="G12" s="12">
        <f t="shared" si="1"/>
        <v>0.23131507905900506</v>
      </c>
      <c r="H12" s="65">
        <f t="shared" ref="H12:K12" si="2">H11/G11-1</f>
        <v>0.28909045352042106</v>
      </c>
      <c r="I12" s="65">
        <f t="shared" si="2"/>
        <v>0.18354208942691197</v>
      </c>
      <c r="J12" s="65">
        <f t="shared" si="2"/>
        <v>0.18090864898243408</v>
      </c>
      <c r="K12" s="65">
        <f t="shared" si="2"/>
        <v>0.14444552610352401</v>
      </c>
      <c r="L12" s="65">
        <v>0.18</v>
      </c>
      <c r="M12" s="65">
        <v>0.18</v>
      </c>
      <c r="N12" s="65">
        <v>0.15</v>
      </c>
      <c r="O12" s="15">
        <v>0.15</v>
      </c>
      <c r="P12" s="15">
        <v>0.12</v>
      </c>
      <c r="Q12" s="15">
        <v>0.12</v>
      </c>
      <c r="R12" s="15">
        <v>0.04</v>
      </c>
    </row>
    <row r="13" spans="1:28" ht="15.95" customHeight="1" x14ac:dyDescent="0.25">
      <c r="A13" s="5"/>
      <c r="B13" s="4" t="s">
        <v>18</v>
      </c>
      <c r="C13" s="12">
        <f>C14/C11</f>
        <v>5.6896172664511385E-2</v>
      </c>
      <c r="D13" s="12">
        <f t="shared" ref="D13:G13" si="3">D14/D11</f>
        <v>4.1798979528442547E-2</v>
      </c>
      <c r="E13" s="12">
        <f t="shared" si="3"/>
        <v>2.2123692906357673E-2</v>
      </c>
      <c r="F13" s="12">
        <f t="shared" si="3"/>
        <v>2.5576552256074046E-2</v>
      </c>
      <c r="G13" s="12">
        <f t="shared" si="3"/>
        <v>4.5978451515910797E-2</v>
      </c>
      <c r="H13" s="87">
        <v>4.1399999999999999E-2</v>
      </c>
      <c r="I13" s="87">
        <v>3.6900000000000002E-2</v>
      </c>
      <c r="J13" s="87">
        <v>4.2299999999999997E-2</v>
      </c>
      <c r="K13" s="87">
        <v>4.9200000000000001E-2</v>
      </c>
      <c r="L13" s="87">
        <v>0.05</v>
      </c>
      <c r="M13" s="87">
        <v>5.6000000000000001E-2</v>
      </c>
      <c r="N13" s="87">
        <v>6.2E-2</v>
      </c>
      <c r="O13" s="87">
        <v>6.8000000000000005E-2</v>
      </c>
      <c r="P13" s="87">
        <v>7.1999999999999995E-2</v>
      </c>
      <c r="Q13" s="87">
        <v>7.1999999999999995E-2</v>
      </c>
      <c r="R13" s="87">
        <v>8.5000000000000006E-2</v>
      </c>
    </row>
    <row r="14" spans="1:28" ht="17.100000000000001" customHeight="1" x14ac:dyDescent="0.25">
      <c r="A14" s="5"/>
      <c r="B14" s="4" t="s">
        <v>19</v>
      </c>
      <c r="C14" s="85">
        <v>207.04437314999859</v>
      </c>
      <c r="D14" s="85">
        <v>187.63637443999801</v>
      </c>
      <c r="E14" s="85">
        <v>119.2</v>
      </c>
      <c r="F14" s="85">
        <v>165.8</v>
      </c>
      <c r="G14" s="85">
        <v>367</v>
      </c>
      <c r="H14" s="14">
        <f>H11*H13</f>
        <v>425.98612800000001</v>
      </c>
      <c r="I14" s="14">
        <f>I11*I13</f>
        <v>449.37115200000005</v>
      </c>
      <c r="J14" s="14">
        <f>J11*J13</f>
        <v>608.32475999999997</v>
      </c>
      <c r="K14" s="14">
        <f>K11*K13</f>
        <v>809.75819999999999</v>
      </c>
      <c r="L14" s="14">
        <f t="shared" ref="L14:R14" si="4">L11*L13</f>
        <v>971.05150000000003</v>
      </c>
      <c r="M14" s="14">
        <f t="shared" si="4"/>
        <v>1283.3416623999999</v>
      </c>
      <c r="N14" s="14">
        <f t="shared" si="4"/>
        <v>1633.9689380199995</v>
      </c>
      <c r="O14" s="14">
        <f>O11*O13</f>
        <v>2060.9092089219994</v>
      </c>
      <c r="P14" s="14">
        <f t="shared" si="4"/>
        <v>2443.9958618745595</v>
      </c>
      <c r="Q14" s="14">
        <f t="shared" si="4"/>
        <v>2737.2753652995066</v>
      </c>
      <c r="R14" s="14">
        <f t="shared" si="4"/>
        <v>3360.7658651732836</v>
      </c>
    </row>
    <row r="15" spans="1:28" ht="16.5" thickBot="1" x14ac:dyDescent="0.3">
      <c r="A15" s="13">
        <v>0.3</v>
      </c>
      <c r="B15" s="4" t="s">
        <v>31</v>
      </c>
      <c r="C15" s="86">
        <v>120.48667928999859</v>
      </c>
      <c r="D15" s="85">
        <v>101.56384589999811</v>
      </c>
      <c r="E15" s="85">
        <v>51.2</v>
      </c>
      <c r="F15" s="85">
        <v>99.7</v>
      </c>
      <c r="G15" s="85">
        <v>226.1</v>
      </c>
      <c r="H15" s="14">
        <f>H11*0.0243</f>
        <v>250.035336</v>
      </c>
      <c r="I15" s="14">
        <f>I11*0.0221</f>
        <v>269.13556800000003</v>
      </c>
      <c r="J15" s="14">
        <f>J11*0.0261</f>
        <v>375.34932000000003</v>
      </c>
      <c r="K15" s="14">
        <f>K11*0.0295</f>
        <v>485.52574999999996</v>
      </c>
      <c r="L15" s="14">
        <f t="shared" ref="L15:Q15" si="5">L14*(1-$A$15)</f>
        <v>679.73604999999998</v>
      </c>
      <c r="M15" s="14">
        <f t="shared" si="5"/>
        <v>898.33916367999984</v>
      </c>
      <c r="N15" s="14">
        <f t="shared" si="5"/>
        <v>1143.7782566139997</v>
      </c>
      <c r="O15" s="14">
        <f t="shared" si="5"/>
        <v>1442.6364462453994</v>
      </c>
      <c r="P15" s="14">
        <f t="shared" si="5"/>
        <v>1710.7971033121917</v>
      </c>
      <c r="Q15" s="14">
        <f t="shared" si="5"/>
        <v>1916.0927557096545</v>
      </c>
      <c r="R15" s="14">
        <f>R14*(1-$A$15)</f>
        <v>2352.5361056212982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>
        <f t="shared" ref="F16:G16" si="6">F15/F14</f>
        <v>0.60132689987937271</v>
      </c>
      <c r="G16" s="19">
        <f t="shared" si="6"/>
        <v>0.61607629427792909</v>
      </c>
      <c r="H16" s="19"/>
      <c r="I16" s="19"/>
      <c r="J16" s="19"/>
      <c r="K16" s="19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227.3048509090909</v>
      </c>
      <c r="I19" s="61">
        <f>I15/(1+$C$55)^2</f>
        <v>222.42608925619834</v>
      </c>
      <c r="J19" s="61">
        <f>J15/(1+$C$55)^3</f>
        <v>282.00549962434252</v>
      </c>
      <c r="K19" s="61">
        <f>K15/(1+$C$55)^4</f>
        <v>331.62062017621736</v>
      </c>
      <c r="L19" s="61">
        <f>L15/(1+$C$55)^5</f>
        <v>422.06260749700391</v>
      </c>
      <c r="M19" s="61">
        <f>M15/(1+$C$55)^6</f>
        <v>507.08903824367292</v>
      </c>
      <c r="N19" s="61">
        <f>N15/(1+$C$55)^7</f>
        <v>586.93909783723814</v>
      </c>
      <c r="O19" s="61">
        <f>O15/(1+$C$55)^8</f>
        <v>673.00054913302085</v>
      </c>
      <c r="P19" s="61">
        <f>P15/(1+$C$55)^9</f>
        <v>725.54497703324603</v>
      </c>
      <c r="Q19" s="61">
        <f>Q15/(1+$C$55)^10</f>
        <v>738.73670388839582</v>
      </c>
      <c r="R19" s="62">
        <f>(R15/(C55-R12))/(1+C55)^10</f>
        <v>15116.741811049587</v>
      </c>
    </row>
    <row r="20" spans="1:18" x14ac:dyDescent="0.25">
      <c r="A20" s="2"/>
      <c r="C20" s="1" t="s">
        <v>36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33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28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37</v>
      </c>
      <c r="C25" s="42"/>
      <c r="D25" s="44">
        <v>0.08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34</v>
      </c>
      <c r="C26" s="42"/>
      <c r="D26" s="44">
        <v>0.01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0.09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 t="s">
        <v>35</v>
      </c>
      <c r="C34" s="48"/>
      <c r="D34" s="33">
        <v>0.01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29</v>
      </c>
      <c r="C46" s="35"/>
      <c r="D46" s="51">
        <f>D30+D34</f>
        <v>9.9999999999999992E-2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44533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18786.112280000001</v>
      </c>
      <c r="D49" s="55">
        <f>SUM(H19:R19)</f>
        <v>19833.471844648015</v>
      </c>
      <c r="E49" s="53" t="s">
        <v>38</v>
      </c>
    </row>
    <row r="50" spans="1:10" x14ac:dyDescent="0.25">
      <c r="A50" s="52"/>
      <c r="B50" s="53" t="s">
        <v>13</v>
      </c>
      <c r="C50" s="54">
        <v>251.017</v>
      </c>
      <c r="D50" s="54">
        <f>C50</f>
        <v>251.017</v>
      </c>
      <c r="E50" s="53"/>
    </row>
    <row r="51" spans="1:10" x14ac:dyDescent="0.25">
      <c r="A51" s="52"/>
      <c r="B51" s="53" t="s">
        <v>15</v>
      </c>
      <c r="C51" s="66">
        <v>74.84</v>
      </c>
      <c r="D51" s="66">
        <f>D49/(D50)</f>
        <v>79.012464672305128</v>
      </c>
      <c r="E51" s="53" t="s">
        <v>38</v>
      </c>
    </row>
    <row r="52" spans="1:10" x14ac:dyDescent="0.25">
      <c r="A52" s="52"/>
      <c r="B52" s="53" t="s">
        <v>2</v>
      </c>
      <c r="C52" s="53"/>
      <c r="D52" s="67">
        <f>IF(C51/D51-1&gt;0,0,C51/D51-1)</f>
        <v>-5.2807676480033039E-2</v>
      </c>
      <c r="E52" s="53"/>
    </row>
    <row r="53" spans="1:10" x14ac:dyDescent="0.25">
      <c r="A53" s="52"/>
      <c r="B53" s="53" t="s">
        <v>17</v>
      </c>
      <c r="C53" s="53"/>
      <c r="D53" s="68">
        <f>IF(C51/D51-1&lt;0,0,C51/D51-1)</f>
        <v>0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28</v>
      </c>
      <c r="B55" s="53"/>
      <c r="C55" s="58">
        <f>D46</f>
        <v>9.9999999999999992E-2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27</v>
      </c>
      <c r="B57" s="28"/>
      <c r="C57" s="80">
        <v>25</v>
      </c>
      <c r="D57" s="28"/>
      <c r="E57" s="29"/>
    </row>
    <row r="58" spans="1:10" x14ac:dyDescent="0.25">
      <c r="A58" s="30" t="s">
        <v>30</v>
      </c>
      <c r="B58" s="31"/>
      <c r="C58" s="81">
        <f>E60/R11</f>
        <v>1.4874999999999998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20</v>
      </c>
      <c r="B60" s="31"/>
      <c r="C60" s="81"/>
      <c r="D60" s="31"/>
      <c r="E60" s="70">
        <f>R15*C57</f>
        <v>58813.402640532455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21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22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23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24</v>
      </c>
      <c r="B68" s="31"/>
      <c r="C68" s="31"/>
      <c r="D68" s="31"/>
      <c r="E68" s="70">
        <f>SUM(E60:E66)</f>
        <v>58813.402640532455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25</v>
      </c>
      <c r="B70" s="31"/>
      <c r="C70" s="31"/>
      <c r="D70" s="31"/>
      <c r="E70" s="74">
        <f>E68/C49-1</f>
        <v>2.1306851446398603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26</v>
      </c>
      <c r="B72" s="76"/>
      <c r="C72" s="76"/>
      <c r="D72" s="76"/>
      <c r="E72" s="79">
        <f>(E68/C49)^(1/10)-1</f>
        <v>0.12089243800813954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2021-12-03T22:24:22Z</dcterms:modified>
</cp:coreProperties>
</file>