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Desktop\CS-Research\Aktienanalysen\Disney\"/>
    </mc:Choice>
  </mc:AlternateContent>
  <bookViews>
    <workbookView xWindow="0" yWindow="0" windowWidth="28800" windowHeight="12330" activeTab="1"/>
  </bookViews>
  <sheets>
    <sheet name="Pessimistisches" sheetId="26" r:id="rId1"/>
    <sheet name="Optimistisches" sheetId="2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24" l="1"/>
  <c r="Q57" i="24"/>
  <c r="R19" i="24"/>
  <c r="P57" i="24"/>
  <c r="O57" i="24"/>
  <c r="N57" i="24"/>
  <c r="M57" i="24"/>
  <c r="L57" i="24"/>
  <c r="K57" i="24"/>
  <c r="J57" i="24"/>
  <c r="I57" i="24"/>
  <c r="H57" i="24"/>
  <c r="K14" i="26" l="1"/>
  <c r="C55" i="26"/>
  <c r="I19" i="26" s="1"/>
  <c r="D50" i="26"/>
  <c r="C49" i="26"/>
  <c r="D46" i="26"/>
  <c r="D30" i="26"/>
  <c r="H19" i="26"/>
  <c r="G16" i="26"/>
  <c r="F16" i="26"/>
  <c r="E16" i="26"/>
  <c r="D16" i="26"/>
  <c r="C16" i="26"/>
  <c r="K15" i="26"/>
  <c r="J13" i="26"/>
  <c r="I13" i="26"/>
  <c r="H13" i="26"/>
  <c r="G13" i="26"/>
  <c r="F13" i="26"/>
  <c r="E13" i="26"/>
  <c r="D13" i="26"/>
  <c r="C13" i="26"/>
  <c r="K12" i="26"/>
  <c r="J12" i="26"/>
  <c r="I12" i="26"/>
  <c r="H12" i="26"/>
  <c r="G12" i="26"/>
  <c r="F12" i="26"/>
  <c r="E12" i="26"/>
  <c r="D12" i="26"/>
  <c r="L11" i="26"/>
  <c r="M11" i="26" s="1"/>
  <c r="C16" i="24"/>
  <c r="D16" i="24"/>
  <c r="E16" i="24"/>
  <c r="K12" i="24"/>
  <c r="K15" i="24"/>
  <c r="D12" i="24"/>
  <c r="E12" i="24"/>
  <c r="C13" i="24"/>
  <c r="D13" i="24"/>
  <c r="M14" i="26" l="1"/>
  <c r="M15" i="26" s="1"/>
  <c r="M19" i="26" s="1"/>
  <c r="N11" i="26"/>
  <c r="J19" i="26"/>
  <c r="K19" i="26"/>
  <c r="L14" i="26"/>
  <c r="L15" i="26" s="1"/>
  <c r="L19" i="26" l="1"/>
  <c r="O11" i="26"/>
  <c r="N14" i="26"/>
  <c r="N15" i="26" s="1"/>
  <c r="N19" i="26" l="1"/>
  <c r="O14" i="26"/>
  <c r="O15" i="26" s="1"/>
  <c r="P11" i="26"/>
  <c r="Q11" i="26" l="1"/>
  <c r="P14" i="26"/>
  <c r="P15" i="26" s="1"/>
  <c r="O19" i="26"/>
  <c r="P19" i="26" l="1"/>
  <c r="R11" i="26"/>
  <c r="R14" i="26" s="1"/>
  <c r="R15" i="26" s="1"/>
  <c r="Q14" i="26"/>
  <c r="Q15" i="26" s="1"/>
  <c r="D43" i="26" s="1"/>
  <c r="C49" i="24"/>
  <c r="D42" i="26" l="1"/>
  <c r="Q19" i="26"/>
  <c r="D40" i="26"/>
  <c r="D41" i="26"/>
  <c r="D44" i="26"/>
  <c r="E60" i="26"/>
  <c r="R19" i="26"/>
  <c r="E64" i="26"/>
  <c r="E66" i="26" s="1"/>
  <c r="I12" i="24"/>
  <c r="J12" i="24"/>
  <c r="I13" i="24"/>
  <c r="J13" i="24"/>
  <c r="H13" i="24"/>
  <c r="F12" i="24"/>
  <c r="F13" i="24"/>
  <c r="G13" i="24"/>
  <c r="E13" i="24"/>
  <c r="G12" i="24"/>
  <c r="D49" i="26" l="1"/>
  <c r="D51" i="26" s="1"/>
  <c r="E68" i="26"/>
  <c r="C58" i="26"/>
  <c r="D50" i="24"/>
  <c r="D30" i="24"/>
  <c r="D46" i="24" s="1"/>
  <c r="C55" i="24" s="1"/>
  <c r="H19" i="24" s="1"/>
  <c r="H12" i="24"/>
  <c r="E72" i="26" l="1"/>
  <c r="E70" i="26"/>
  <c r="D53" i="26"/>
  <c r="D52" i="26"/>
  <c r="F16" i="24"/>
  <c r="G16" i="24"/>
  <c r="L11" i="24"/>
  <c r="J19" i="24"/>
  <c r="I19" i="24"/>
  <c r="K19" i="24" l="1"/>
  <c r="K14" i="24"/>
  <c r="L14" i="24"/>
  <c r="L15" i="24" s="1"/>
  <c r="M11" i="24"/>
  <c r="M14" i="24" l="1"/>
  <c r="M15" i="24" s="1"/>
  <c r="M19" i="24" s="1"/>
  <c r="N11" i="24"/>
  <c r="L19" i="24"/>
  <c r="N14" i="24" l="1"/>
  <c r="N15" i="24" s="1"/>
  <c r="O11" i="24"/>
  <c r="O14" i="24" l="1"/>
  <c r="O15" i="24" s="1"/>
  <c r="P11" i="24"/>
  <c r="N19" i="24"/>
  <c r="P14" i="24" l="1"/>
  <c r="P15" i="24" s="1"/>
  <c r="Q11" i="24"/>
  <c r="O19" i="24"/>
  <c r="P19" i="24" l="1"/>
  <c r="Q14" i="24"/>
  <c r="Q15" i="24" s="1"/>
  <c r="R11" i="24"/>
  <c r="R14" i="24" s="1"/>
  <c r="R15" i="24" s="1"/>
  <c r="E62" i="24" s="1"/>
  <c r="E66" i="24" l="1"/>
  <c r="D43" i="24"/>
  <c r="D41" i="24"/>
  <c r="D42" i="24"/>
  <c r="Q19" i="24"/>
  <c r="E68" i="24"/>
  <c r="D40" i="24"/>
  <c r="D44" i="24"/>
  <c r="D49" i="24" l="1"/>
  <c r="D51" i="24" s="1"/>
  <c r="D53" i="24" s="1"/>
  <c r="E70" i="24"/>
  <c r="E74" i="24" s="1"/>
  <c r="C60" i="24"/>
  <c r="E72" i="24" l="1"/>
  <c r="D52" i="24"/>
</calcChain>
</file>

<file path=xl/sharedStrings.xml><?xml version="1.0" encoding="utf-8"?>
<sst xmlns="http://schemas.openxmlformats.org/spreadsheetml/2006/main" count="86" uniqueCount="43">
  <si>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</si>
  <si>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</si>
  <si>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</si>
  <si>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</si>
  <si>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</si>
  <si>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</si>
  <si>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</si>
  <si>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Branche</t>
  </si>
  <si>
    <t>Gesamt Branche: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</si>
  <si>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</si>
  <si>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</si>
  <si>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</si>
  <si>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</si>
  <si>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</si>
  <si>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</si>
  <si>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</si>
  <si>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</si>
  <si>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</si>
  <si>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</si>
  <si>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</si>
  <si>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</si>
  <si>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</si>
  <si>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</si>
  <si>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</si>
  <si>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</si>
  <si>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</si>
  <si>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Gewinnmultiple in 2031</t>
  </si>
  <si>
    <t>Eigenkapitalzins</t>
  </si>
  <si>
    <t>EK-Zins</t>
  </si>
  <si>
    <t xml:space="preserve">Umsatzmultiple </t>
  </si>
  <si>
    <t>Gewinn (25% Zinsen/Steuern/sonstiges)</t>
  </si>
  <si>
    <t>(ab 2025)</t>
  </si>
  <si>
    <t>USD</t>
  </si>
  <si>
    <t>2032ff.</t>
  </si>
  <si>
    <t>25 % Abschlag vom EBIT für Zins und Steuern</t>
  </si>
  <si>
    <t>Sicherheitszuschlag für Zyklik bzgl. Parks</t>
  </si>
  <si>
    <t xml:space="preserve">Digitales Entertainment und Parks </t>
  </si>
  <si>
    <t>Ek Quote 43 %</t>
  </si>
  <si>
    <t>Optimistische Annahmen für Disney</t>
  </si>
  <si>
    <t xml:space="preserve">Alle Angaben in Mrd. </t>
  </si>
  <si>
    <t>Pessimistische Annahmen für Disney</t>
  </si>
  <si>
    <t>Nullzinsmarkterwartung:</t>
  </si>
  <si>
    <t>Abgezinster Gewinn in Mrd. USD: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</si>
</sst>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;@"/>
    <numFmt numFmtId="165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9" fontId="0" fillId="5" borderId="0" xfId="1" applyFont="1" applyFill="1"/>
    <xf numFmtId="9" fontId="1" fillId="6" borderId="0" xfId="1" applyFont="1" applyFill="1"/>
    <xf numFmtId="3" fontId="0" fillId="7" borderId="0" xfId="0" applyNumberFormat="1" applyFont="1" applyFill="1"/>
    <xf numFmtId="165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1" fillId="2" borderId="0" xfId="1" applyNumberFormat="1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4" fillId="2" borderId="8" xfId="0" quotePrefix="1" applyNumberFormat="1" applyFont="1" applyFill="1" applyBorder="1"/>
    <xf numFmtId="10" fontId="0" fillId="2" borderId="7" xfId="0" applyNumberFormat="1" applyFill="1" applyBorder="1"/>
    <xf numFmtId="4" fontId="10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3" fillId="2" borderId="0" xfId="1" applyNumberFormat="1" applyFont="1" applyFill="1"/>
    <xf numFmtId="1" fontId="1" fillId="2" borderId="0" xfId="1" applyNumberFormat="1" applyFont="1" applyFill="1"/>
    <xf numFmtId="165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5" borderId="0" xfId="0" applyNumberFormat="1" applyFont="1" applyFill="1"/>
    <xf numFmtId="4" fontId="0" fillId="5" borderId="0" xfId="0" applyNumberFormat="1" applyFill="1"/>
    <xf numFmtId="4" fontId="0" fillId="7" borderId="0" xfId="0" applyNumberFormat="1" applyFont="1" applyFill="1"/>
    <xf numFmtId="9" fontId="1" fillId="7" borderId="0" xfId="1" applyNumberFormat="1" applyFont="1" applyFill="1"/>
    <xf numFmtId="10" fontId="0" fillId="8" borderId="0" xfId="0" applyNumberFormat="1" applyFill="1"/>
    <xf numFmtId="4" fontId="1" fillId="8" borderId="0" xfId="1" applyNumberFormat="1" applyFont="1" applyFill="1"/>
  </cellXfs>
  <cellStyles count="3">
    <cellStyle name="Prozent" xfId="1" builtinId="5"/>
    <cellStyle name="Prozent 2" xfId="2"/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  <color rgb="FFFFCC66"/>
      <color rgb="FFFFEB7D"/>
      <color rgb="FF009900"/>
      <color rgb="FFCC99FF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2"/>
  <sheetViews>
    <sheetView topLeftCell="A45" zoomScale="90" zoomScaleNormal="90" workbookViewId="0">
      <selection activeCell="C49" sqref="C49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6" t="s">
        <v>12</v>
      </c>
    </row>
    <row r="4" spans="1:28" x14ac:dyDescent="0.25">
      <c r="B4" s="26" t="s">
        <v>40</v>
      </c>
      <c r="L4" s="30"/>
      <c r="M4" s="30"/>
      <c r="N4" s="30"/>
      <c r="O4" s="30"/>
      <c r="P4" s="30"/>
      <c r="Q4" s="30"/>
      <c r="R4" s="30"/>
      <c r="S4" s="30"/>
    </row>
    <row r="5" spans="1:28" x14ac:dyDescent="0.25">
      <c r="L5" s="30"/>
      <c r="M5" s="30"/>
      <c r="N5" s="30"/>
      <c r="O5" s="30"/>
      <c r="P5" s="30"/>
      <c r="Q5" s="30"/>
      <c r="R5" s="30"/>
      <c r="S5" s="30"/>
    </row>
    <row r="6" spans="1:28" x14ac:dyDescent="0.25">
      <c r="B6" s="1" t="s">
        <v>39</v>
      </c>
      <c r="L6" s="30"/>
      <c r="M6" s="30"/>
      <c r="N6" s="30"/>
      <c r="O6" s="30"/>
      <c r="P6" s="30"/>
      <c r="Q6" s="30"/>
      <c r="R6" s="30"/>
      <c r="S6" s="30"/>
    </row>
    <row r="9" spans="1:28" s="8" customFormat="1" x14ac:dyDescent="0.25">
      <c r="H9" s="9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3">
        <v>2022</v>
      </c>
      <c r="I10" s="63">
        <v>2023</v>
      </c>
      <c r="J10" s="63">
        <v>2024</v>
      </c>
      <c r="K10" s="63">
        <v>2025</v>
      </c>
      <c r="L10" s="63">
        <v>2026</v>
      </c>
      <c r="M10" s="63">
        <v>2027</v>
      </c>
      <c r="N10" s="63">
        <v>2028</v>
      </c>
      <c r="O10" s="63">
        <v>2029</v>
      </c>
      <c r="P10" s="63">
        <v>2030</v>
      </c>
      <c r="Q10" s="63">
        <v>2031</v>
      </c>
      <c r="R10" s="62" t="s">
        <v>33</v>
      </c>
    </row>
    <row r="11" spans="1:28" x14ac:dyDescent="0.25">
      <c r="A11" s="5"/>
      <c r="B11" s="4" t="s">
        <v>4</v>
      </c>
      <c r="C11" s="85">
        <v>55.137</v>
      </c>
      <c r="D11" s="85">
        <v>59.433999999999997</v>
      </c>
      <c r="E11" s="85">
        <v>69.606999999999999</v>
      </c>
      <c r="F11" s="85">
        <v>65.388000000000005</v>
      </c>
      <c r="G11" s="85">
        <v>67.418000000000006</v>
      </c>
      <c r="H11" s="87">
        <v>80</v>
      </c>
      <c r="I11" s="87">
        <v>89</v>
      </c>
      <c r="J11" s="87">
        <v>95</v>
      </c>
      <c r="K11" s="14">
        <v>102</v>
      </c>
      <c r="L11" s="14">
        <f t="shared" ref="L11:R11" si="0">K11*(1+L12)</f>
        <v>108.12</v>
      </c>
      <c r="M11" s="14">
        <f t="shared" si="0"/>
        <v>114.60720000000001</v>
      </c>
      <c r="N11" s="14">
        <f t="shared" si="0"/>
        <v>119.19148800000001</v>
      </c>
      <c r="O11" s="14">
        <f t="shared" si="0"/>
        <v>123.95914752000002</v>
      </c>
      <c r="P11" s="14">
        <f t="shared" si="0"/>
        <v>128.91751342080002</v>
      </c>
      <c r="Q11" s="14">
        <f t="shared" si="0"/>
        <v>134.07421395763203</v>
      </c>
      <c r="R11" s="14">
        <f t="shared" si="0"/>
        <v>138.09644037636099</v>
      </c>
    </row>
    <row r="12" spans="1:28" x14ac:dyDescent="0.25">
      <c r="A12" s="5"/>
      <c r="B12" s="4" t="s">
        <v>1</v>
      </c>
      <c r="C12" s="12"/>
      <c r="D12" s="12">
        <f t="shared" ref="D12:K12" si="1">D11/C11-1</f>
        <v>7.7933148339590419E-2</v>
      </c>
      <c r="E12" s="12">
        <f t="shared" si="1"/>
        <v>0.1711646532287916</v>
      </c>
      <c r="F12" s="12">
        <f t="shared" si="1"/>
        <v>-6.0611720085623433E-2</v>
      </c>
      <c r="G12" s="12">
        <f t="shared" si="1"/>
        <v>3.1045451764849741E-2</v>
      </c>
      <c r="H12" s="64">
        <f t="shared" si="1"/>
        <v>0.1866267169005309</v>
      </c>
      <c r="I12" s="64">
        <f t="shared" si="1"/>
        <v>0.11250000000000004</v>
      </c>
      <c r="J12" s="64">
        <f t="shared" si="1"/>
        <v>6.7415730337078594E-2</v>
      </c>
      <c r="K12" s="64">
        <f t="shared" si="1"/>
        <v>7.3684210526315796E-2</v>
      </c>
      <c r="L12" s="64">
        <v>0.06</v>
      </c>
      <c r="M12" s="64">
        <v>0.06</v>
      </c>
      <c r="N12" s="64">
        <v>0.04</v>
      </c>
      <c r="O12" s="88">
        <v>0.04</v>
      </c>
      <c r="P12" s="88">
        <v>0.04</v>
      </c>
      <c r="Q12" s="88">
        <v>0.04</v>
      </c>
      <c r="R12" s="15">
        <v>0.03</v>
      </c>
    </row>
    <row r="13" spans="1:28" ht="15.95" customHeight="1" x14ac:dyDescent="0.25">
      <c r="A13" s="5"/>
      <c r="B13" s="4" t="s">
        <v>17</v>
      </c>
      <c r="C13" s="12">
        <f>C14/C11</f>
        <v>0.25160962692928523</v>
      </c>
      <c r="D13" s="12">
        <f>D14/D11</f>
        <v>0.24963825419793384</v>
      </c>
      <c r="E13" s="12">
        <f>E14/E11</f>
        <v>0.16995417127587742</v>
      </c>
      <c r="F13" s="12">
        <f t="shared" ref="F13:G13" si="2">F14/F11</f>
        <v>5.8022878815684832E-2</v>
      </c>
      <c r="G13" s="12">
        <f t="shared" si="2"/>
        <v>5.4273339464238027E-2</v>
      </c>
      <c r="H13" s="84">
        <f>H14/H11</f>
        <v>0.14374999999999999</v>
      </c>
      <c r="I13" s="84">
        <f t="shared" ref="I13:J13" si="3">I14/I11</f>
        <v>0.15730337078651685</v>
      </c>
      <c r="J13" s="84">
        <f t="shared" si="3"/>
        <v>0.16842105263157894</v>
      </c>
      <c r="K13" s="84">
        <v>0.17</v>
      </c>
      <c r="L13" s="84">
        <v>0.18</v>
      </c>
      <c r="M13" s="84">
        <v>0.2</v>
      </c>
      <c r="N13" s="84">
        <v>0.2</v>
      </c>
      <c r="O13" s="84">
        <v>0.2</v>
      </c>
      <c r="P13" s="84">
        <v>0.2</v>
      </c>
      <c r="Q13" s="84">
        <v>0.2</v>
      </c>
      <c r="R13" s="84">
        <v>0.21</v>
      </c>
    </row>
    <row r="14" spans="1:28" ht="17.100000000000001" customHeight="1" x14ac:dyDescent="0.25">
      <c r="A14" s="5"/>
      <c r="B14" s="4" t="s">
        <v>18</v>
      </c>
      <c r="C14" s="85">
        <v>13.872999999999999</v>
      </c>
      <c r="D14" s="85">
        <v>14.837</v>
      </c>
      <c r="E14" s="85">
        <v>11.83</v>
      </c>
      <c r="F14" s="85">
        <v>3.794</v>
      </c>
      <c r="G14" s="85">
        <v>3.6589999999999998</v>
      </c>
      <c r="H14" s="87">
        <v>11.5</v>
      </c>
      <c r="I14" s="87">
        <v>14</v>
      </c>
      <c r="J14" s="87">
        <v>16</v>
      </c>
      <c r="K14" s="14">
        <f>K11*K13</f>
        <v>17.34</v>
      </c>
      <c r="L14" s="14">
        <f t="shared" ref="L14:R14" si="4">L11*L13</f>
        <v>19.461600000000001</v>
      </c>
      <c r="M14" s="14">
        <f t="shared" si="4"/>
        <v>22.921440000000004</v>
      </c>
      <c r="N14" s="14">
        <f t="shared" si="4"/>
        <v>23.838297600000004</v>
      </c>
      <c r="O14" s="14">
        <f>O11*O13</f>
        <v>24.791829504000006</v>
      </c>
      <c r="P14" s="14">
        <f t="shared" si="4"/>
        <v>25.783502684160005</v>
      </c>
      <c r="Q14" s="14">
        <f t="shared" si="4"/>
        <v>26.814842791526406</v>
      </c>
      <c r="R14" s="14">
        <f t="shared" si="4"/>
        <v>29.000252479035808</v>
      </c>
    </row>
    <row r="15" spans="1:28" ht="16.5" thickBot="1" x14ac:dyDescent="0.3">
      <c r="A15" s="13">
        <v>0.25</v>
      </c>
      <c r="B15" s="4" t="s">
        <v>30</v>
      </c>
      <c r="C15" s="86">
        <v>8.98</v>
      </c>
      <c r="D15" s="85">
        <v>12.598000000000001</v>
      </c>
      <c r="E15" s="85">
        <v>11.054</v>
      </c>
      <c r="F15" s="85">
        <v>-2.8639999999999999</v>
      </c>
      <c r="G15" s="85">
        <v>1.9950000000000001</v>
      </c>
      <c r="H15" s="87">
        <v>5.9</v>
      </c>
      <c r="I15" s="87">
        <v>8.9</v>
      </c>
      <c r="J15" s="87">
        <v>10</v>
      </c>
      <c r="K15" s="87">
        <f>K11*0.1158</f>
        <v>11.8116</v>
      </c>
      <c r="L15" s="14">
        <f t="shared" ref="L15:Q15" si="5">L14*(1-$A$15)</f>
        <v>14.5962</v>
      </c>
      <c r="M15" s="14">
        <f t="shared" si="5"/>
        <v>17.191080000000003</v>
      </c>
      <c r="N15" s="14">
        <f t="shared" si="5"/>
        <v>17.878723200000003</v>
      </c>
      <c r="O15" s="14">
        <f t="shared" si="5"/>
        <v>18.593872128000005</v>
      </c>
      <c r="P15" s="14">
        <f t="shared" si="5"/>
        <v>19.337627013120006</v>
      </c>
      <c r="Q15" s="14">
        <f t="shared" si="5"/>
        <v>20.111132093644805</v>
      </c>
      <c r="R15" s="14">
        <f>R14*(1-$A$15)</f>
        <v>21.750189359276856</v>
      </c>
    </row>
    <row r="16" spans="1:28" ht="32.25" thickBot="1" x14ac:dyDescent="0.3">
      <c r="A16" s="16" t="s">
        <v>6</v>
      </c>
      <c r="B16" s="17"/>
      <c r="C16" s="18">
        <f t="shared" ref="C16:G16" si="6">C15/C14</f>
        <v>0.64730051178548265</v>
      </c>
      <c r="D16" s="18">
        <f t="shared" si="6"/>
        <v>0.84909348250994143</v>
      </c>
      <c r="E16" s="18">
        <f t="shared" si="6"/>
        <v>0.93440405748098054</v>
      </c>
      <c r="F16" s="18">
        <f t="shared" si="6"/>
        <v>-0.75487612018977324</v>
      </c>
      <c r="G16" s="18">
        <f t="shared" si="6"/>
        <v>0.54523093741459416</v>
      </c>
      <c r="H16" s="18"/>
      <c r="I16" s="18"/>
      <c r="J16" s="18"/>
      <c r="K16" s="18"/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8" t="s">
        <v>14</v>
      </c>
      <c r="G19" s="59"/>
      <c r="H19" s="60">
        <f>H15/(1+$C$55)</f>
        <v>5.3636363636363633</v>
      </c>
      <c r="I19" s="60">
        <f>I15/(1+$C$55)^2</f>
        <v>7.3553719008264453</v>
      </c>
      <c r="J19" s="60">
        <f>J15/(1+$C$55)^3</f>
        <v>7.513148009015775</v>
      </c>
      <c r="K19" s="60">
        <f>K15/(1+$C$55)^4</f>
        <v>8.0674817293900674</v>
      </c>
      <c r="L19" s="60">
        <f>L15/(1+$C$55)^5</f>
        <v>9.0630918156360369</v>
      </c>
      <c r="M19" s="60">
        <f>M15/(1+$C$55)^6</f>
        <v>9.7039164894688898</v>
      </c>
      <c r="N19" s="60">
        <f>N15/(1+$C$55)^7</f>
        <v>9.1746119536796762</v>
      </c>
      <c r="O19" s="60">
        <f>O15/(1+$C$55)^8</f>
        <v>8.6741785743880584</v>
      </c>
      <c r="P19" s="60">
        <f>P15/(1+$C$55)^9</f>
        <v>8.2010415612396184</v>
      </c>
      <c r="Q19" s="60">
        <f>Q15/(1+$C$55)^10</f>
        <v>7.7537120215356383</v>
      </c>
      <c r="R19" s="61">
        <f>(R15/(C55-R12))/(1+C55)^10</f>
        <v>119.79485073272562</v>
      </c>
    </row>
    <row r="20" spans="1:18" x14ac:dyDescent="0.25">
      <c r="A20" s="2"/>
      <c r="C20" s="1" t="s">
        <v>34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31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7" t="s">
        <v>27</v>
      </c>
      <c r="B23" s="38"/>
      <c r="C23" s="38"/>
      <c r="D23" s="39"/>
      <c r="E23" s="27"/>
      <c r="F23" s="38"/>
      <c r="G23" s="27"/>
      <c r="H23" s="27"/>
      <c r="I23" s="27"/>
      <c r="J23" s="28"/>
    </row>
    <row r="24" spans="1:18" x14ac:dyDescent="0.25">
      <c r="A24" s="40"/>
      <c r="B24" s="41"/>
      <c r="C24" s="41"/>
      <c r="D24" s="42"/>
      <c r="E24" s="41"/>
      <c r="F24" s="41"/>
      <c r="G24" s="30"/>
      <c r="H24" s="30"/>
      <c r="I24" s="30"/>
      <c r="J24" s="31"/>
    </row>
    <row r="25" spans="1:18" x14ac:dyDescent="0.25">
      <c r="A25" s="40" t="s">
        <v>7</v>
      </c>
      <c r="B25" s="41" t="s">
        <v>36</v>
      </c>
      <c r="C25" s="41"/>
      <c r="D25" s="43">
        <v>0.08</v>
      </c>
      <c r="E25" s="30"/>
      <c r="F25" s="41"/>
      <c r="G25" s="30"/>
      <c r="H25" s="30"/>
      <c r="I25" s="30"/>
      <c r="J25" s="31"/>
    </row>
    <row r="26" spans="1:18" x14ac:dyDescent="0.25">
      <c r="A26" s="40"/>
      <c r="B26" s="41" t="s">
        <v>35</v>
      </c>
      <c r="C26" s="41"/>
      <c r="D26" s="43">
        <v>0.01</v>
      </c>
      <c r="E26" s="30"/>
      <c r="F26" s="41"/>
      <c r="G26" s="30"/>
      <c r="H26" s="30"/>
      <c r="I26" s="30"/>
      <c r="J26" s="31"/>
    </row>
    <row r="27" spans="1:18" x14ac:dyDescent="0.25">
      <c r="A27" s="40"/>
      <c r="B27" s="41"/>
      <c r="C27" s="41"/>
      <c r="D27" s="43"/>
      <c r="E27" s="30"/>
      <c r="F27" s="41"/>
      <c r="G27" s="30"/>
      <c r="H27" s="30"/>
      <c r="I27" s="30"/>
      <c r="J27" s="31"/>
    </row>
    <row r="28" spans="1:18" x14ac:dyDescent="0.25">
      <c r="A28" s="40"/>
      <c r="B28" s="41"/>
      <c r="C28" s="41"/>
      <c r="D28" s="44"/>
      <c r="E28" s="30"/>
      <c r="F28" s="41"/>
      <c r="G28" s="30"/>
      <c r="H28" s="30"/>
      <c r="I28" s="30"/>
      <c r="J28" s="31"/>
    </row>
    <row r="29" spans="1:18" x14ac:dyDescent="0.25">
      <c r="A29" s="40"/>
      <c r="B29" s="41"/>
      <c r="C29" s="41"/>
      <c r="D29" s="44"/>
      <c r="E29" s="30"/>
      <c r="F29" s="41"/>
      <c r="G29" s="30"/>
      <c r="H29" s="30"/>
      <c r="I29" s="30"/>
      <c r="J29" s="31"/>
    </row>
    <row r="30" spans="1:18" x14ac:dyDescent="0.25">
      <c r="A30" s="40"/>
      <c r="B30" s="41" t="s">
        <v>8</v>
      </c>
      <c r="C30" s="41"/>
      <c r="D30" s="45">
        <f>D25+D26+D27</f>
        <v>0.09</v>
      </c>
      <c r="E30" s="30"/>
      <c r="F30" s="41"/>
      <c r="G30" s="30"/>
      <c r="H30" s="30"/>
      <c r="I30" s="30"/>
      <c r="J30" s="31"/>
    </row>
    <row r="31" spans="1:18" x14ac:dyDescent="0.25">
      <c r="A31" s="40"/>
      <c r="B31" s="41"/>
      <c r="C31" s="41"/>
      <c r="D31" s="42"/>
      <c r="E31" s="30"/>
      <c r="F31" s="41"/>
      <c r="G31" s="30"/>
      <c r="H31" s="30"/>
      <c r="I31" s="30"/>
      <c r="J31" s="31"/>
    </row>
    <row r="32" spans="1:18" x14ac:dyDescent="0.25">
      <c r="A32" s="29"/>
      <c r="B32" s="30"/>
      <c r="C32" s="46"/>
      <c r="D32" s="30"/>
      <c r="E32" s="41"/>
      <c r="F32" s="41"/>
      <c r="G32" s="30"/>
      <c r="H32" s="30"/>
      <c r="I32" s="30"/>
      <c r="J32" s="31"/>
    </row>
    <row r="33" spans="1:10" x14ac:dyDescent="0.25">
      <c r="A33" s="29"/>
      <c r="B33" s="30"/>
      <c r="C33" s="30"/>
      <c r="D33" s="30"/>
      <c r="E33" s="30"/>
      <c r="F33" s="30"/>
      <c r="G33" s="30"/>
      <c r="H33" s="30"/>
      <c r="I33" s="30"/>
      <c r="J33" s="31"/>
    </row>
    <row r="34" spans="1:10" x14ac:dyDescent="0.25">
      <c r="A34" s="40" t="s">
        <v>9</v>
      </c>
      <c r="B34" s="41" t="s">
        <v>37</v>
      </c>
      <c r="C34" s="47"/>
      <c r="D34" s="32">
        <v>0.01</v>
      </c>
      <c r="E34" s="30"/>
      <c r="F34" s="30"/>
      <c r="G34" s="30"/>
      <c r="H34" s="30"/>
      <c r="I34" s="30"/>
      <c r="J34" s="31"/>
    </row>
    <row r="35" spans="1:10" ht="15.75" hidden="1" customHeight="1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1"/>
    </row>
    <row r="36" spans="1:10" ht="15.75" hidden="1" customHeight="1" x14ac:dyDescent="0.25">
      <c r="A36" s="29"/>
      <c r="B36" s="30" t="s">
        <v>10</v>
      </c>
      <c r="C36" s="30"/>
      <c r="D36" s="48">
        <v>0.08</v>
      </c>
      <c r="E36" s="30"/>
      <c r="F36" s="30"/>
      <c r="G36" s="30"/>
      <c r="H36" s="30"/>
      <c r="I36" s="30"/>
      <c r="J36" s="31"/>
    </row>
    <row r="37" spans="1:10" ht="15.75" hidden="1" customHeight="1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1"/>
    </row>
    <row r="38" spans="1:10" ht="15.75" hidden="1" customHeight="1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1"/>
    </row>
    <row r="39" spans="1:10" ht="15.75" hidden="1" customHeight="1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1"/>
    </row>
    <row r="40" spans="1:10" hidden="1" x14ac:dyDescent="0.25">
      <c r="A40" s="29"/>
      <c r="B40" s="49"/>
      <c r="C40" s="49">
        <v>0.12</v>
      </c>
      <c r="D40" s="49" t="e">
        <f>((NPV(C40,$H$15:$R$15)+(#REF!*(1+#REF!)/(C40-#REF!))/(1+C40)^(2040-2020))/$D$50)/$C$51-1</f>
        <v>#REF!</v>
      </c>
      <c r="E40" s="30"/>
      <c r="F40" s="30"/>
      <c r="G40" s="30"/>
      <c r="H40" s="30"/>
      <c r="I40" s="30"/>
      <c r="J40" s="31"/>
    </row>
    <row r="41" spans="1:10" hidden="1" x14ac:dyDescent="0.25">
      <c r="A41" s="29"/>
      <c r="B41" s="49"/>
      <c r="C41" s="49">
        <v>0.14000000000000001</v>
      </c>
      <c r="D41" s="49" t="e">
        <f>((NPV(C41,$H$15:$R$15)+(#REF!*(1+#REF!)/(C41-#REF!))/(1+C41)^(2040-2020))/$D$50)/$C$51-1</f>
        <v>#REF!</v>
      </c>
      <c r="E41" s="30"/>
      <c r="F41" s="30"/>
      <c r="G41" s="30"/>
      <c r="H41" s="30"/>
      <c r="I41" s="30"/>
      <c r="J41" s="31"/>
    </row>
    <row r="42" spans="1:10" hidden="1" x14ac:dyDescent="0.25">
      <c r="A42" s="29"/>
      <c r="B42" s="49"/>
      <c r="C42" s="49">
        <v>0.16</v>
      </c>
      <c r="D42" s="49" t="e">
        <f>((NPV(C42,$H$15:$R$15)+(#REF!*(1+#REF!)/(C42-#REF!))/(1+C42)^(2040-2020))/$D$50)/$C$51-1</f>
        <v>#REF!</v>
      </c>
      <c r="E42" s="30"/>
      <c r="F42" s="30"/>
      <c r="G42" s="30"/>
      <c r="H42" s="30"/>
      <c r="I42" s="30"/>
      <c r="J42" s="31"/>
    </row>
    <row r="43" spans="1:10" hidden="1" x14ac:dyDescent="0.25">
      <c r="A43" s="29"/>
      <c r="B43" s="49"/>
      <c r="C43" s="49">
        <v>0.18</v>
      </c>
      <c r="D43" s="49" t="e">
        <f>((NPV(C43,$H$15:$R$15)+(#REF!*(1+#REF!)/(C43-#REF!))/(1+C43)^(2040-2020))/$D$50)/$C$51-1</f>
        <v>#REF!</v>
      </c>
      <c r="E43" s="30"/>
      <c r="F43" s="30"/>
      <c r="G43" s="30"/>
      <c r="H43" s="30"/>
      <c r="I43" s="30"/>
      <c r="J43" s="31"/>
    </row>
    <row r="44" spans="1:10" hidden="1" x14ac:dyDescent="0.25">
      <c r="A44" s="29"/>
      <c r="B44" s="49"/>
      <c r="C44" s="49">
        <v>0.2</v>
      </c>
      <c r="D44" s="49" t="e">
        <f>((NPV(C44,$H$15:$R$15)+(#REF!*(1+#REF!)/(C44-#REF!))/(1+C44)^(2040-2020))/$D$50)/$C$51-1</f>
        <v>#REF!</v>
      </c>
      <c r="E44" s="30"/>
      <c r="F44" s="30"/>
      <c r="G44" s="30"/>
      <c r="H44" s="30"/>
      <c r="I44" s="30"/>
      <c r="J44" s="31"/>
    </row>
    <row r="45" spans="1:10" x14ac:dyDescent="0.25">
      <c r="A45" s="29"/>
      <c r="B45" s="30"/>
      <c r="C45" s="30"/>
      <c r="D45" s="30"/>
      <c r="E45" s="30"/>
      <c r="F45" s="30"/>
      <c r="G45" s="30"/>
      <c r="H45" s="30"/>
      <c r="I45" s="30"/>
      <c r="J45" s="31"/>
    </row>
    <row r="46" spans="1:10" ht="16.5" thickBot="1" x14ac:dyDescent="0.3">
      <c r="A46" s="33"/>
      <c r="B46" s="34" t="s">
        <v>28</v>
      </c>
      <c r="C46" s="34"/>
      <c r="D46" s="50">
        <f>D30+D34</f>
        <v>9.9999999999999992E-2</v>
      </c>
      <c r="E46" s="34"/>
      <c r="F46" s="34"/>
      <c r="G46" s="34"/>
      <c r="H46" s="34"/>
      <c r="I46" s="34"/>
      <c r="J46" s="35"/>
    </row>
    <row r="48" spans="1:10" x14ac:dyDescent="0.25">
      <c r="A48" s="19"/>
      <c r="B48" s="20"/>
      <c r="C48" s="21">
        <v>44568</v>
      </c>
      <c r="D48" s="22" t="s">
        <v>3</v>
      </c>
      <c r="E48" s="23"/>
      <c r="F48" s="24"/>
      <c r="G48" s="25"/>
      <c r="H48" s="25"/>
      <c r="I48" s="25"/>
    </row>
    <row r="49" spans="1:10" x14ac:dyDescent="0.25">
      <c r="A49" s="51" t="s">
        <v>0</v>
      </c>
      <c r="B49" s="52" t="s">
        <v>5</v>
      </c>
      <c r="C49" s="83">
        <f>C50*C51</f>
        <v>286880.64648</v>
      </c>
      <c r="D49" s="54">
        <f>SUM(H19:R19)*1000</f>
        <v>200665.04115154219</v>
      </c>
      <c r="E49" s="52" t="s">
        <v>32</v>
      </c>
    </row>
    <row r="50" spans="1:10" x14ac:dyDescent="0.25">
      <c r="A50" s="51"/>
      <c r="B50" s="52" t="s">
        <v>13</v>
      </c>
      <c r="C50" s="53">
        <v>1817.6559999999999</v>
      </c>
      <c r="D50" s="53">
        <f>C50</f>
        <v>1817.6559999999999</v>
      </c>
      <c r="E50" s="52"/>
    </row>
    <row r="51" spans="1:10" x14ac:dyDescent="0.25">
      <c r="A51" s="51"/>
      <c r="B51" s="52" t="s">
        <v>15</v>
      </c>
      <c r="C51" s="65">
        <v>157.83000000000001</v>
      </c>
      <c r="D51" s="65">
        <f>D49/(D50)</f>
        <v>110.39769964808643</v>
      </c>
      <c r="E51" s="52" t="s">
        <v>32</v>
      </c>
    </row>
    <row r="52" spans="1:10" x14ac:dyDescent="0.25">
      <c r="A52" s="51"/>
      <c r="B52" s="52" t="s">
        <v>2</v>
      </c>
      <c r="C52" s="52"/>
      <c r="D52" s="66">
        <f>IF(C51/D51-1&gt;0,0,C51/D51-1)</f>
        <v>0</v>
      </c>
      <c r="E52" s="52"/>
    </row>
    <row r="53" spans="1:10" x14ac:dyDescent="0.25">
      <c r="A53" s="51"/>
      <c r="B53" s="52" t="s">
        <v>16</v>
      </c>
      <c r="C53" s="52"/>
      <c r="D53" s="67">
        <f>IF(C51/D51-1&lt;0,0,C51/D51-1)</f>
        <v>0.42964935413611904</v>
      </c>
      <c r="E53" s="52"/>
    </row>
    <row r="54" spans="1:10" x14ac:dyDescent="0.25">
      <c r="A54" s="52"/>
      <c r="B54" s="52"/>
      <c r="C54" s="52"/>
      <c r="D54" s="55"/>
      <c r="E54" s="55"/>
    </row>
    <row r="55" spans="1:10" x14ac:dyDescent="0.25">
      <c r="A55" s="55" t="s">
        <v>27</v>
      </c>
      <c r="B55" s="52"/>
      <c r="C55" s="57">
        <f>D46</f>
        <v>9.9999999999999992E-2</v>
      </c>
      <c r="D55" s="56"/>
      <c r="E55" s="52"/>
      <c r="J55" s="82"/>
    </row>
    <row r="56" spans="1:10" ht="16.5" thickBot="1" x14ac:dyDescent="0.3">
      <c r="A56" s="26"/>
      <c r="C56" s="76"/>
      <c r="D56" s="77"/>
    </row>
    <row r="57" spans="1:10" x14ac:dyDescent="0.25">
      <c r="A57" s="68" t="s">
        <v>26</v>
      </c>
      <c r="B57" s="27"/>
      <c r="C57" s="79">
        <v>25</v>
      </c>
      <c r="D57" s="27"/>
      <c r="E57" s="28"/>
    </row>
    <row r="58" spans="1:10" x14ac:dyDescent="0.25">
      <c r="A58" s="29" t="s">
        <v>29</v>
      </c>
      <c r="B58" s="30"/>
      <c r="C58" s="80">
        <f>E60/R11</f>
        <v>3937.4999999999995</v>
      </c>
      <c r="D58" s="30"/>
      <c r="E58" s="31"/>
    </row>
    <row r="59" spans="1:10" x14ac:dyDescent="0.25">
      <c r="A59" s="29"/>
      <c r="B59" s="30"/>
      <c r="C59" s="80"/>
      <c r="D59" s="30"/>
      <c r="E59" s="31"/>
    </row>
    <row r="60" spans="1:10" x14ac:dyDescent="0.25">
      <c r="A60" s="29" t="s">
        <v>19</v>
      </c>
      <c r="B60" s="30"/>
      <c r="C60" s="80"/>
      <c r="D60" s="30"/>
      <c r="E60" s="69">
        <f>R15*C57*1000</f>
        <v>543754.73398192134</v>
      </c>
    </row>
    <row r="61" spans="1:10" x14ac:dyDescent="0.25">
      <c r="A61" s="29"/>
      <c r="B61" s="30"/>
      <c r="C61" s="80"/>
      <c r="D61" s="30"/>
      <c r="E61" s="31"/>
    </row>
    <row r="62" spans="1:10" x14ac:dyDescent="0.25">
      <c r="A62" s="29" t="s">
        <v>20</v>
      </c>
      <c r="B62" s="30"/>
      <c r="C62" s="81">
        <v>0.2</v>
      </c>
      <c r="D62" s="30"/>
      <c r="E62" s="31"/>
    </row>
    <row r="63" spans="1:10" x14ac:dyDescent="0.25">
      <c r="A63" s="29"/>
      <c r="B63" s="30"/>
      <c r="C63" s="30"/>
      <c r="D63" s="30"/>
      <c r="E63" s="31"/>
    </row>
    <row r="64" spans="1:10" x14ac:dyDescent="0.25">
      <c r="A64" s="29" t="s">
        <v>21</v>
      </c>
      <c r="B64" s="30"/>
      <c r="C64" s="30"/>
      <c r="D64" s="30"/>
      <c r="E64" s="69">
        <f>SUM(H15:R15)*C62*1000</f>
        <v>33214.084758808342</v>
      </c>
    </row>
    <row r="65" spans="1:5" x14ac:dyDescent="0.25">
      <c r="A65" s="29"/>
      <c r="B65" s="30"/>
      <c r="C65" s="30"/>
      <c r="D65" s="30"/>
      <c r="E65" s="70"/>
    </row>
    <row r="66" spans="1:5" x14ac:dyDescent="0.25">
      <c r="A66" s="71" t="s">
        <v>22</v>
      </c>
      <c r="B66" s="30"/>
      <c r="C66" s="30"/>
      <c r="D66" s="30"/>
      <c r="E66" s="72">
        <f>(E64*0.25)*-1</f>
        <v>-8303.5211897020854</v>
      </c>
    </row>
    <row r="67" spans="1:5" x14ac:dyDescent="0.25">
      <c r="A67" s="29"/>
      <c r="B67" s="30"/>
      <c r="C67" s="49"/>
      <c r="D67" s="49"/>
      <c r="E67" s="73"/>
    </row>
    <row r="68" spans="1:5" x14ac:dyDescent="0.25">
      <c r="A68" s="29" t="s">
        <v>23</v>
      </c>
      <c r="B68" s="30"/>
      <c r="C68" s="30"/>
      <c r="D68" s="30"/>
      <c r="E68" s="69">
        <f>SUM(E60:E66)</f>
        <v>568665.29755102762</v>
      </c>
    </row>
    <row r="69" spans="1:5" x14ac:dyDescent="0.25">
      <c r="A69" s="29"/>
      <c r="B69" s="30"/>
      <c r="C69" s="30"/>
      <c r="D69" s="30"/>
      <c r="E69" s="69"/>
    </row>
    <row r="70" spans="1:5" x14ac:dyDescent="0.25">
      <c r="A70" s="29" t="s">
        <v>24</v>
      </c>
      <c r="B70" s="30"/>
      <c r="C70" s="30"/>
      <c r="D70" s="30"/>
      <c r="E70" s="73">
        <f>E68/C49-1</f>
        <v>0.982236531214288</v>
      </c>
    </row>
    <row r="71" spans="1:5" x14ac:dyDescent="0.25">
      <c r="A71" s="29"/>
      <c r="B71" s="30"/>
      <c r="C71" s="30"/>
      <c r="D71" s="30"/>
      <c r="E71" s="31"/>
    </row>
    <row r="72" spans="1:5" ht="16.5" thickBot="1" x14ac:dyDescent="0.3">
      <c r="A72" s="74" t="s">
        <v>25</v>
      </c>
      <c r="B72" s="75"/>
      <c r="C72" s="75"/>
      <c r="D72" s="75"/>
      <c r="E72" s="78">
        <f>(E68/C49)^(1/10)-1</f>
        <v>7.0817715655656421E-2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4"/>
  <sheetViews>
    <sheetView tabSelected="1" topLeftCell="A45" zoomScale="90" zoomScaleNormal="9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6" t="s">
        <v>12</v>
      </c>
    </row>
    <row r="4" spans="1:28" x14ac:dyDescent="0.25">
      <c r="B4" s="26" t="s">
        <v>38</v>
      </c>
      <c r="L4" s="30"/>
      <c r="M4" s="30"/>
      <c r="N4" s="30"/>
      <c r="O4" s="30"/>
      <c r="P4" s="30"/>
      <c r="Q4" s="30"/>
      <c r="R4" s="30"/>
      <c r="S4" s="30"/>
    </row>
    <row r="5" spans="1:28" x14ac:dyDescent="0.25">
      <c r="L5" s="30"/>
      <c r="M5" s="30"/>
      <c r="N5" s="30"/>
      <c r="O5" s="30"/>
      <c r="P5" s="30"/>
      <c r="Q5" s="30"/>
      <c r="R5" s="30"/>
      <c r="S5" s="30"/>
    </row>
    <row r="6" spans="1:28" x14ac:dyDescent="0.25">
      <c r="B6" s="1" t="s">
        <v>39</v>
      </c>
      <c r="L6" s="30"/>
      <c r="M6" s="30"/>
      <c r="N6" s="30"/>
      <c r="O6" s="30"/>
      <c r="P6" s="30"/>
      <c r="Q6" s="30"/>
      <c r="R6" s="30"/>
      <c r="S6" s="30"/>
    </row>
    <row r="9" spans="1:28" s="8" customFormat="1" x14ac:dyDescent="0.25">
      <c r="H9" s="9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/>
      <c r="D10" s="11"/>
      <c r="E10" s="11">
        <v>2019</v>
      </c>
      <c r="F10" s="11">
        <v>2020</v>
      </c>
      <c r="G10" s="11">
        <v>2021</v>
      </c>
      <c r="H10" s="63">
        <v>2022</v>
      </c>
      <c r="I10" s="63">
        <v>2023</v>
      </c>
      <c r="J10" s="63">
        <v>2024</v>
      </c>
      <c r="K10" s="63">
        <v>2025</v>
      </c>
      <c r="L10" s="63">
        <v>2026</v>
      </c>
      <c r="M10" s="63">
        <v>2027</v>
      </c>
      <c r="N10" s="63">
        <v>2028</v>
      </c>
      <c r="O10" s="63">
        <v>2029</v>
      </c>
      <c r="P10" s="63">
        <v>2030</v>
      </c>
      <c r="Q10" s="63">
        <v>2031</v>
      </c>
      <c r="R10" s="62" t="s">
        <v>33</v>
      </c>
    </row>
    <row r="11" spans="1:28" x14ac:dyDescent="0.25">
      <c r="A11" s="5"/>
      <c r="B11" s="4" t="s">
        <v>4</v>
      </c>
      <c r="C11" s="85">
        <v>55.137</v>
      </c>
      <c r="D11" s="85">
        <v>59.433999999999997</v>
      </c>
      <c r="E11" s="85">
        <v>69.606999999999999</v>
      </c>
      <c r="F11" s="85">
        <v>65.388000000000005</v>
      </c>
      <c r="G11" s="85">
        <v>67.418000000000006</v>
      </c>
      <c r="H11" s="87">
        <v>83.632999999999996</v>
      </c>
      <c r="I11" s="87">
        <v>93.308000000000007</v>
      </c>
      <c r="J11" s="87">
        <v>100.91683999999999</v>
      </c>
      <c r="K11" s="14">
        <v>107.863</v>
      </c>
      <c r="L11" s="14">
        <f t="shared" ref="L11:R11" si="0">K11*(1+L12)</f>
        <v>115.41341000000001</v>
      </c>
      <c r="M11" s="14">
        <f t="shared" si="0"/>
        <v>123.49234870000002</v>
      </c>
      <c r="N11" s="14">
        <f t="shared" si="0"/>
        <v>130.90188962200003</v>
      </c>
      <c r="O11" s="14">
        <f t="shared" si="0"/>
        <v>138.75600299932003</v>
      </c>
      <c r="P11" s="14">
        <f t="shared" si="0"/>
        <v>147.08136317927924</v>
      </c>
      <c r="Q11" s="14">
        <f t="shared" si="0"/>
        <v>154.43543133824321</v>
      </c>
      <c r="R11" s="14">
        <f t="shared" si="0"/>
        <v>160.61284859177294</v>
      </c>
    </row>
    <row r="12" spans="1:28" x14ac:dyDescent="0.25">
      <c r="A12" s="5"/>
      <c r="B12" s="4" t="s">
        <v>1</v>
      </c>
      <c r="C12" s="12"/>
      <c r="D12" s="12">
        <f t="shared" ref="D12" si="1">D11/C11-1</f>
        <v>7.7933148339590419E-2</v>
      </c>
      <c r="E12" s="12">
        <f t="shared" ref="E12" si="2">E11/D11-1</f>
        <v>0.1711646532287916</v>
      </c>
      <c r="F12" s="12">
        <f t="shared" ref="F12:H12" si="3">F11/E11-1</f>
        <v>-6.0611720085623433E-2</v>
      </c>
      <c r="G12" s="12">
        <f t="shared" si="3"/>
        <v>3.1045451764849741E-2</v>
      </c>
      <c r="H12" s="64">
        <f t="shared" si="3"/>
        <v>0.24051440268177626</v>
      </c>
      <c r="I12" s="64">
        <f t="shared" ref="I12" si="4">I11/H11-1</f>
        <v>0.11568400033479631</v>
      </c>
      <c r="J12" s="64">
        <f t="shared" ref="J12:K12" si="5">J11/I11-1</f>
        <v>8.1545419470999025E-2</v>
      </c>
      <c r="K12" s="64">
        <f t="shared" si="5"/>
        <v>6.8830534130874588E-2</v>
      </c>
      <c r="L12" s="64">
        <v>7.0000000000000007E-2</v>
      </c>
      <c r="M12" s="64">
        <v>7.0000000000000007E-2</v>
      </c>
      <c r="N12" s="64">
        <v>0.06</v>
      </c>
      <c r="O12" s="88">
        <v>0.06</v>
      </c>
      <c r="P12" s="88">
        <v>0.06</v>
      </c>
      <c r="Q12" s="88">
        <v>0.05</v>
      </c>
      <c r="R12" s="15">
        <v>0.04</v>
      </c>
    </row>
    <row r="13" spans="1:28" ht="15.95" customHeight="1" x14ac:dyDescent="0.25">
      <c r="A13" s="5"/>
      <c r="B13" s="4" t="s">
        <v>17</v>
      </c>
      <c r="C13" s="12">
        <f>C14/C11</f>
        <v>0.25160962692928523</v>
      </c>
      <c r="D13" s="12">
        <f>D14/D11</f>
        <v>0.24963825419793384</v>
      </c>
      <c r="E13" s="12">
        <f>E14/E11</f>
        <v>0.16995417127587742</v>
      </c>
      <c r="F13" s="12">
        <f t="shared" ref="F13:G13" si="6">F14/F11</f>
        <v>5.8022878815684832E-2</v>
      </c>
      <c r="G13" s="12">
        <f t="shared" si="6"/>
        <v>5.4273339464238027E-2</v>
      </c>
      <c r="H13" s="84">
        <f>H14/H11</f>
        <v>0.1449</v>
      </c>
      <c r="I13" s="84">
        <f t="shared" ref="I13:J13" si="7">I14/I11</f>
        <v>0.1651</v>
      </c>
      <c r="J13" s="84">
        <f t="shared" si="7"/>
        <v>0.18440000000000001</v>
      </c>
      <c r="K13" s="84">
        <v>0.19600000000000001</v>
      </c>
      <c r="L13" s="84">
        <v>0.21</v>
      </c>
      <c r="M13" s="84">
        <v>0.22</v>
      </c>
      <c r="N13" s="84">
        <v>0.22</v>
      </c>
      <c r="O13" s="84">
        <v>0.23</v>
      </c>
      <c r="P13" s="84">
        <v>0.24</v>
      </c>
      <c r="Q13" s="84">
        <v>0.245</v>
      </c>
      <c r="R13" s="84">
        <v>0.255</v>
      </c>
    </row>
    <row r="14" spans="1:28" ht="17.100000000000001" customHeight="1" x14ac:dyDescent="0.25">
      <c r="A14" s="5"/>
      <c r="B14" s="4" t="s">
        <v>18</v>
      </c>
      <c r="C14" s="85">
        <v>13.872999999999999</v>
      </c>
      <c r="D14" s="85">
        <v>14.837</v>
      </c>
      <c r="E14" s="85">
        <v>11.83</v>
      </c>
      <c r="F14" s="85">
        <v>3.794</v>
      </c>
      <c r="G14" s="85">
        <v>3.6589999999999998</v>
      </c>
      <c r="H14" s="87">
        <v>12.118421699999999</v>
      </c>
      <c r="I14" s="87">
        <v>15.405150800000001</v>
      </c>
      <c r="J14" s="87">
        <v>18.609065296000001</v>
      </c>
      <c r="K14" s="14">
        <f>K11*K13</f>
        <v>21.141148000000001</v>
      </c>
      <c r="L14" s="14">
        <f t="shared" ref="L14:R14" si="8">L11*L13</f>
        <v>24.236816100000002</v>
      </c>
      <c r="M14" s="14">
        <f t="shared" si="8"/>
        <v>27.168316714000007</v>
      </c>
      <c r="N14" s="14">
        <f t="shared" si="8"/>
        <v>28.798415716840005</v>
      </c>
      <c r="O14" s="14">
        <f>O11*O13</f>
        <v>31.913880689843609</v>
      </c>
      <c r="P14" s="14">
        <f t="shared" si="8"/>
        <v>35.299527163027015</v>
      </c>
      <c r="Q14" s="14">
        <f t="shared" si="8"/>
        <v>37.836680677869587</v>
      </c>
      <c r="R14" s="14">
        <f t="shared" si="8"/>
        <v>40.956276390902104</v>
      </c>
    </row>
    <row r="15" spans="1:28" ht="16.5" thickBot="1" x14ac:dyDescent="0.3">
      <c r="A15" s="13">
        <v>0.25</v>
      </c>
      <c r="B15" s="4" t="s">
        <v>30</v>
      </c>
      <c r="C15" s="86">
        <v>8.98</v>
      </c>
      <c r="D15" s="85">
        <v>12.598000000000001</v>
      </c>
      <c r="E15" s="85">
        <v>11.054</v>
      </c>
      <c r="F15" s="85">
        <v>-2.8639999999999999</v>
      </c>
      <c r="G15" s="85">
        <v>1.9950000000000001</v>
      </c>
      <c r="H15" s="87">
        <v>6.6237336000000004</v>
      </c>
      <c r="I15" s="87">
        <v>9.3308000000000018</v>
      </c>
      <c r="J15" s="87">
        <v>11.262319344</v>
      </c>
      <c r="K15" s="87">
        <f>K11*0.1158</f>
        <v>12.490535400000001</v>
      </c>
      <c r="L15" s="14">
        <f t="shared" ref="L15:Q15" si="9">L14*(1-$A$15)</f>
        <v>18.177612075000003</v>
      </c>
      <c r="M15" s="14">
        <f t="shared" si="9"/>
        <v>20.376237535500003</v>
      </c>
      <c r="N15" s="14">
        <f t="shared" si="9"/>
        <v>21.598811787630005</v>
      </c>
      <c r="O15" s="14">
        <f t="shared" si="9"/>
        <v>23.935410517382707</v>
      </c>
      <c r="P15" s="14">
        <f t="shared" si="9"/>
        <v>26.47464537227026</v>
      </c>
      <c r="Q15" s="14">
        <f t="shared" si="9"/>
        <v>28.377510508402189</v>
      </c>
      <c r="R15" s="14">
        <f>R14*(1-$A$15)</f>
        <v>30.717207293176578</v>
      </c>
    </row>
    <row r="16" spans="1:28" ht="32.25" thickBot="1" x14ac:dyDescent="0.3">
      <c r="A16" s="16" t="s">
        <v>6</v>
      </c>
      <c r="B16" s="17"/>
      <c r="C16" s="18">
        <f t="shared" ref="C16:E16" si="10">C15/C14</f>
        <v>0.64730051178548265</v>
      </c>
      <c r="D16" s="18">
        <f t="shared" si="10"/>
        <v>0.84909348250994143</v>
      </c>
      <c r="E16" s="18">
        <f t="shared" si="10"/>
        <v>0.93440405748098054</v>
      </c>
      <c r="F16" s="18">
        <f t="shared" ref="F16:G16" si="11">F15/F14</f>
        <v>-0.75487612018977324</v>
      </c>
      <c r="G16" s="18">
        <f t="shared" si="11"/>
        <v>0.54523093741459416</v>
      </c>
      <c r="H16" s="18"/>
      <c r="I16" s="18"/>
      <c r="J16" s="18"/>
      <c r="K16" s="18"/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8" t="s">
        <v>14</v>
      </c>
      <c r="G19" s="59"/>
      <c r="H19" s="60">
        <f>H15/(1+$C$55)</f>
        <v>6.0215759999999996</v>
      </c>
      <c r="I19" s="60">
        <f>I15/(1+$C$55)^2</f>
        <v>7.7114049586776865</v>
      </c>
      <c r="J19" s="60">
        <f>J15/(1+$C$55)^3</f>
        <v>8.4615472156273448</v>
      </c>
      <c r="K19" s="60">
        <f>K15/(1+$C$55)^4</f>
        <v>8.5312037429137337</v>
      </c>
      <c r="L19" s="60">
        <f>L15/(1+$C$55)^5</f>
        <v>11.286866939665073</v>
      </c>
      <c r="M19" s="60">
        <f>M15/(1+$C$55)^6</f>
        <v>11.501854881372978</v>
      </c>
      <c r="N19" s="60">
        <f>N15/(1+$C$55)^7</f>
        <v>11.083605612959413</v>
      </c>
      <c r="O19" s="60">
        <f>O15/(1+$C$55)^8</f>
        <v>11.1660456547087</v>
      </c>
      <c r="P19" s="60">
        <f>P15/(1+$C$55)^9</f>
        <v>11.227834049635939</v>
      </c>
      <c r="Q19" s="60">
        <f>Q15/(1+$C$55)^10</f>
        <v>10.940758747230475</v>
      </c>
      <c r="R19" s="61">
        <f>(R15/(C55-R12))/(1+C55)^10</f>
        <v>197.38021903166825</v>
      </c>
    </row>
    <row r="20" spans="1:18" x14ac:dyDescent="0.25">
      <c r="A20" s="2"/>
      <c r="C20" s="1" t="s">
        <v>34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31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7" t="s">
        <v>27</v>
      </c>
      <c r="B23" s="38"/>
      <c r="C23" s="38"/>
      <c r="D23" s="39"/>
      <c r="E23" s="27"/>
      <c r="F23" s="38"/>
      <c r="G23" s="27"/>
      <c r="H23" s="27"/>
      <c r="I23" s="27"/>
      <c r="J23" s="28"/>
    </row>
    <row r="24" spans="1:18" x14ac:dyDescent="0.25">
      <c r="A24" s="40"/>
      <c r="B24" s="41"/>
      <c r="C24" s="41"/>
      <c r="D24" s="42"/>
      <c r="E24" s="41"/>
      <c r="F24" s="41"/>
      <c r="G24" s="30"/>
      <c r="H24" s="30"/>
      <c r="I24" s="30"/>
      <c r="J24" s="31"/>
    </row>
    <row r="25" spans="1:18" x14ac:dyDescent="0.25">
      <c r="A25" s="40" t="s">
        <v>7</v>
      </c>
      <c r="B25" s="41" t="s">
        <v>36</v>
      </c>
      <c r="C25" s="41"/>
      <c r="D25" s="43">
        <v>0.08</v>
      </c>
      <c r="E25" s="30"/>
      <c r="F25" s="41"/>
      <c r="G25" s="30"/>
      <c r="H25" s="30"/>
      <c r="I25" s="30"/>
      <c r="J25" s="31"/>
    </row>
    <row r="26" spans="1:18" x14ac:dyDescent="0.25">
      <c r="A26" s="40"/>
      <c r="B26" s="41" t="s">
        <v>35</v>
      </c>
      <c r="C26" s="41"/>
      <c r="D26" s="43">
        <v>0.01</v>
      </c>
      <c r="E26" s="30"/>
      <c r="F26" s="41"/>
      <c r="G26" s="30"/>
      <c r="H26" s="30"/>
      <c r="I26" s="30"/>
      <c r="J26" s="31"/>
    </row>
    <row r="27" spans="1:18" x14ac:dyDescent="0.25">
      <c r="A27" s="40"/>
      <c r="B27" s="41"/>
      <c r="C27" s="41"/>
      <c r="D27" s="43"/>
      <c r="E27" s="30"/>
      <c r="F27" s="41"/>
      <c r="G27" s="30"/>
      <c r="H27" s="30"/>
      <c r="I27" s="30"/>
      <c r="J27" s="31"/>
    </row>
    <row r="28" spans="1:18" x14ac:dyDescent="0.25">
      <c r="A28" s="40"/>
      <c r="B28" s="41"/>
      <c r="C28" s="41"/>
      <c r="D28" s="44"/>
      <c r="E28" s="30"/>
      <c r="F28" s="41"/>
      <c r="G28" s="30"/>
      <c r="H28" s="30"/>
      <c r="I28" s="30"/>
      <c r="J28" s="31"/>
    </row>
    <row r="29" spans="1:18" x14ac:dyDescent="0.25">
      <c r="A29" s="40"/>
      <c r="B29" s="41"/>
      <c r="C29" s="41"/>
      <c r="D29" s="44"/>
      <c r="E29" s="30"/>
      <c r="F29" s="41"/>
      <c r="G29" s="30"/>
      <c r="H29" s="30"/>
      <c r="I29" s="30"/>
      <c r="J29" s="31"/>
    </row>
    <row r="30" spans="1:18" x14ac:dyDescent="0.25">
      <c r="A30" s="40"/>
      <c r="B30" s="41" t="s">
        <v>8</v>
      </c>
      <c r="C30" s="41"/>
      <c r="D30" s="45">
        <f>D25+D26+D27</f>
        <v>0.09</v>
      </c>
      <c r="E30" s="30"/>
      <c r="F30" s="41"/>
      <c r="G30" s="30"/>
      <c r="H30" s="30"/>
      <c r="I30" s="30"/>
      <c r="J30" s="31"/>
    </row>
    <row r="31" spans="1:18" x14ac:dyDescent="0.25">
      <c r="A31" s="40"/>
      <c r="B31" s="41"/>
      <c r="C31" s="41"/>
      <c r="D31" s="42"/>
      <c r="E31" s="30"/>
      <c r="F31" s="41"/>
      <c r="G31" s="30"/>
      <c r="H31" s="30"/>
      <c r="I31" s="30"/>
      <c r="J31" s="31"/>
    </row>
    <row r="32" spans="1:18" x14ac:dyDescent="0.25">
      <c r="A32" s="29"/>
      <c r="B32" s="30"/>
      <c r="C32" s="46"/>
      <c r="D32" s="30"/>
      <c r="E32" s="41"/>
      <c r="F32" s="41"/>
      <c r="G32" s="30"/>
      <c r="H32" s="30"/>
      <c r="I32" s="30"/>
      <c r="J32" s="31"/>
    </row>
    <row r="33" spans="1:10" x14ac:dyDescent="0.25">
      <c r="A33" s="29"/>
      <c r="B33" s="30"/>
      <c r="C33" s="30"/>
      <c r="D33" s="30"/>
      <c r="E33" s="30"/>
      <c r="F33" s="30"/>
      <c r="G33" s="30"/>
      <c r="H33" s="30"/>
      <c r="I33" s="30"/>
      <c r="J33" s="31"/>
    </row>
    <row r="34" spans="1:10" x14ac:dyDescent="0.25">
      <c r="A34" s="40" t="s">
        <v>9</v>
      </c>
      <c r="B34" s="41" t="s">
        <v>37</v>
      </c>
      <c r="C34" s="47"/>
      <c r="D34" s="32">
        <v>0.01</v>
      </c>
      <c r="E34" s="30"/>
      <c r="F34" s="30"/>
      <c r="G34" s="30"/>
      <c r="H34" s="30"/>
      <c r="I34" s="30"/>
      <c r="J34" s="31"/>
    </row>
    <row r="35" spans="1:10" ht="15.75" hidden="1" customHeight="1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1"/>
    </row>
    <row r="36" spans="1:10" ht="15.75" hidden="1" customHeight="1" x14ac:dyDescent="0.25">
      <c r="A36" s="29"/>
      <c r="B36" s="30" t="s">
        <v>10</v>
      </c>
      <c r="C36" s="30"/>
      <c r="D36" s="48">
        <v>0.08</v>
      </c>
      <c r="E36" s="30"/>
      <c r="F36" s="30"/>
      <c r="G36" s="30"/>
      <c r="H36" s="30"/>
      <c r="I36" s="30"/>
      <c r="J36" s="31"/>
    </row>
    <row r="37" spans="1:10" ht="15.75" hidden="1" customHeight="1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1"/>
    </row>
    <row r="38" spans="1:10" ht="15.75" hidden="1" customHeight="1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1"/>
    </row>
    <row r="39" spans="1:10" ht="15.75" hidden="1" customHeight="1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1"/>
    </row>
    <row r="40" spans="1:10" hidden="1" x14ac:dyDescent="0.25">
      <c r="A40" s="29"/>
      <c r="B40" s="49"/>
      <c r="C40" s="49">
        <v>0.12</v>
      </c>
      <c r="D40" s="49" t="e">
        <f>((NPV(C40,$H$15:$R$15)+(#REF!*(1+#REF!)/(C40-#REF!))/(1+C40)^(2040-2020))/$D$50)/$C$51-1</f>
        <v>#REF!</v>
      </c>
      <c r="E40" s="30"/>
      <c r="F40" s="30"/>
      <c r="G40" s="30"/>
      <c r="H40" s="30"/>
      <c r="I40" s="30"/>
      <c r="J40" s="31"/>
    </row>
    <row r="41" spans="1:10" hidden="1" x14ac:dyDescent="0.25">
      <c r="A41" s="29"/>
      <c r="B41" s="49"/>
      <c r="C41" s="49">
        <v>0.14000000000000001</v>
      </c>
      <c r="D41" s="49" t="e">
        <f>((NPV(C41,$H$15:$R$15)+(#REF!*(1+#REF!)/(C41-#REF!))/(1+C41)^(2040-2020))/$D$50)/$C$51-1</f>
        <v>#REF!</v>
      </c>
      <c r="E41" s="30"/>
      <c r="F41" s="30"/>
      <c r="G41" s="30"/>
      <c r="H41" s="30"/>
      <c r="I41" s="30"/>
      <c r="J41" s="31"/>
    </row>
    <row r="42" spans="1:10" hidden="1" x14ac:dyDescent="0.25">
      <c r="A42" s="29"/>
      <c r="B42" s="49"/>
      <c r="C42" s="49">
        <v>0.16</v>
      </c>
      <c r="D42" s="49" t="e">
        <f>((NPV(C42,$H$15:$R$15)+(#REF!*(1+#REF!)/(C42-#REF!))/(1+C42)^(2040-2020))/$D$50)/$C$51-1</f>
        <v>#REF!</v>
      </c>
      <c r="E42" s="30"/>
      <c r="F42" s="30"/>
      <c r="G42" s="30"/>
      <c r="H42" s="30"/>
      <c r="I42" s="30"/>
      <c r="J42" s="31"/>
    </row>
    <row r="43" spans="1:10" hidden="1" x14ac:dyDescent="0.25">
      <c r="A43" s="29"/>
      <c r="B43" s="49"/>
      <c r="C43" s="49">
        <v>0.18</v>
      </c>
      <c r="D43" s="49" t="e">
        <f>((NPV(C43,$H$15:$R$15)+(#REF!*(1+#REF!)/(C43-#REF!))/(1+C43)^(2040-2020))/$D$50)/$C$51-1</f>
        <v>#REF!</v>
      </c>
      <c r="E43" s="30"/>
      <c r="F43" s="30"/>
      <c r="G43" s="30"/>
      <c r="H43" s="30"/>
      <c r="I43" s="30"/>
      <c r="J43" s="31"/>
    </row>
    <row r="44" spans="1:10" hidden="1" x14ac:dyDescent="0.25">
      <c r="A44" s="29"/>
      <c r="B44" s="49"/>
      <c r="C44" s="49">
        <v>0.2</v>
      </c>
      <c r="D44" s="49" t="e">
        <f>((NPV(C44,$H$15:$R$15)+(#REF!*(1+#REF!)/(C44-#REF!))/(1+C44)^(2040-2020))/$D$50)/$C$51-1</f>
        <v>#REF!</v>
      </c>
      <c r="E44" s="30"/>
      <c r="F44" s="30"/>
      <c r="G44" s="30"/>
      <c r="H44" s="30"/>
      <c r="I44" s="30"/>
      <c r="J44" s="31"/>
    </row>
    <row r="45" spans="1:10" x14ac:dyDescent="0.25">
      <c r="A45" s="29"/>
      <c r="B45" s="30"/>
      <c r="C45" s="30"/>
      <c r="D45" s="30"/>
      <c r="E45" s="30"/>
      <c r="F45" s="30"/>
      <c r="G45" s="30"/>
      <c r="H45" s="30"/>
      <c r="I45" s="30"/>
      <c r="J45" s="31"/>
    </row>
    <row r="46" spans="1:10" ht="16.5" thickBot="1" x14ac:dyDescent="0.3">
      <c r="A46" s="33"/>
      <c r="B46" s="34" t="s">
        <v>28</v>
      </c>
      <c r="C46" s="34"/>
      <c r="D46" s="50">
        <f>D30+D34</f>
        <v>9.9999999999999992E-2</v>
      </c>
      <c r="E46" s="34"/>
      <c r="F46" s="34"/>
      <c r="G46" s="34"/>
      <c r="H46" s="34"/>
      <c r="I46" s="34"/>
      <c r="J46" s="35"/>
    </row>
    <row r="48" spans="1:10" x14ac:dyDescent="0.25">
      <c r="A48" s="19"/>
      <c r="B48" s="20"/>
      <c r="C48" s="21">
        <v>44568</v>
      </c>
      <c r="D48" s="22" t="s">
        <v>3</v>
      </c>
      <c r="E48" s="23"/>
      <c r="F48" s="24"/>
      <c r="G48" s="25"/>
      <c r="H48" s="25"/>
      <c r="I48" s="25"/>
    </row>
    <row r="49" spans="1:17" x14ac:dyDescent="0.25">
      <c r="A49" s="51" t="s">
        <v>0</v>
      </c>
      <c r="B49" s="52" t="s">
        <v>5</v>
      </c>
      <c r="C49" s="83">
        <f>C50*C51</f>
        <v>286880.64648</v>
      </c>
      <c r="D49" s="54">
        <f>SUM(H19:R19)*1000</f>
        <v>295312.91683445958</v>
      </c>
      <c r="E49" s="52" t="s">
        <v>32</v>
      </c>
    </row>
    <row r="50" spans="1:17" x14ac:dyDescent="0.25">
      <c r="A50" s="51"/>
      <c r="B50" s="52" t="s">
        <v>13</v>
      </c>
      <c r="C50" s="53">
        <v>1817.6559999999999</v>
      </c>
      <c r="D50" s="53">
        <f>C50</f>
        <v>1817.6559999999999</v>
      </c>
      <c r="E50" s="52"/>
    </row>
    <row r="51" spans="1:17" x14ac:dyDescent="0.25">
      <c r="A51" s="51"/>
      <c r="B51" s="52" t="s">
        <v>15</v>
      </c>
      <c r="C51" s="65">
        <v>157.83000000000001</v>
      </c>
      <c r="D51" s="65">
        <f>D49/(D50)</f>
        <v>162.46909031987329</v>
      </c>
      <c r="E51" s="52" t="s">
        <v>32</v>
      </c>
    </row>
    <row r="52" spans="1:17" x14ac:dyDescent="0.25">
      <c r="A52" s="51"/>
      <c r="B52" s="52" t="s">
        <v>2</v>
      </c>
      <c r="C52" s="52"/>
      <c r="D52" s="66">
        <f>IF(C51/D51-1&gt;0,0,C51/D51-1)</f>
        <v>-2.8553679415202704E-2</v>
      </c>
      <c r="E52" s="52"/>
    </row>
    <row r="53" spans="1:17" x14ac:dyDescent="0.25">
      <c r="A53" s="51"/>
      <c r="B53" s="52" t="s">
        <v>16</v>
      </c>
      <c r="C53" s="52"/>
      <c r="D53" s="67">
        <f>IF(C51/D51-1&lt;0,0,C51/D51-1)</f>
        <v>0</v>
      </c>
      <c r="E53" s="52"/>
    </row>
    <row r="54" spans="1:17" x14ac:dyDescent="0.25">
      <c r="A54" s="52"/>
      <c r="B54" s="52"/>
      <c r="C54" s="52"/>
      <c r="D54" s="55"/>
      <c r="E54" s="55"/>
    </row>
    <row r="55" spans="1:17" x14ac:dyDescent="0.25">
      <c r="A55" s="55" t="s">
        <v>27</v>
      </c>
      <c r="B55" s="52"/>
      <c r="C55" s="57">
        <f>D46</f>
        <v>9.9999999999999992E-2</v>
      </c>
      <c r="D55" s="56"/>
      <c r="E55" s="52"/>
      <c r="J55" s="82"/>
    </row>
    <row r="56" spans="1:17" x14ac:dyDescent="0.25">
      <c r="A56" s="55"/>
      <c r="B56" s="52"/>
      <c r="C56" s="57"/>
      <c r="D56" s="56"/>
      <c r="E56" s="52"/>
    </row>
    <row r="57" spans="1:17" x14ac:dyDescent="0.25">
      <c r="A57" s="55" t="s">
        <v>41</v>
      </c>
      <c r="B57" s="89">
        <v>0.1</v>
      </c>
      <c r="C57" s="57"/>
      <c r="D57" s="90">
        <f>SUM(H57:Q57)*1000</f>
        <v>284372.15808722907</v>
      </c>
      <c r="E57" s="52"/>
      <c r="F57" s="1" t="s">
        <v>42</v>
      </c>
      <c r="H57" s="1">
        <f>H15/(1+$B$57)</f>
        <v>6.0215759999999996</v>
      </c>
      <c r="I57" s="1">
        <f>I15/(1+$B$57)^2</f>
        <v>7.7114049586776865</v>
      </c>
      <c r="J57" s="1">
        <f>J15/(1+$B$57)^3</f>
        <v>8.4615472156273448</v>
      </c>
      <c r="K57" s="1">
        <f>K15/(1+$B$57)^4</f>
        <v>8.5312037429137337</v>
      </c>
      <c r="L57" s="1">
        <f>L15/(1+$B$57)^5</f>
        <v>11.286866939665073</v>
      </c>
      <c r="M57" s="1">
        <f>M15/(1+$B$57)^6</f>
        <v>11.501854881372978</v>
      </c>
      <c r="N57" s="1">
        <f>N15/(1+$B$57)^7</f>
        <v>11.083605612959413</v>
      </c>
      <c r="O57" s="1">
        <f>O15/(1+$B$57)^8</f>
        <v>11.1660456547087</v>
      </c>
      <c r="P57" s="1">
        <f>P15/(1+$B$57)^9</f>
        <v>11.227834049635939</v>
      </c>
      <c r="Q57" s="1">
        <f>(R15/(B57-R12))/(1+B57)^10</f>
        <v>197.38021903166819</v>
      </c>
    </row>
    <row r="58" spans="1:17" ht="16.5" thickBot="1" x14ac:dyDescent="0.3">
      <c r="A58" s="26"/>
      <c r="C58" s="76"/>
      <c r="D58" s="77"/>
    </row>
    <row r="59" spans="1:17" x14ac:dyDescent="0.25">
      <c r="A59" s="68" t="s">
        <v>26</v>
      </c>
      <c r="B59" s="27"/>
      <c r="C59" s="79">
        <v>25</v>
      </c>
      <c r="D59" s="27"/>
      <c r="E59" s="28"/>
    </row>
    <row r="60" spans="1:17" x14ac:dyDescent="0.25">
      <c r="A60" s="29" t="s">
        <v>29</v>
      </c>
      <c r="B60" s="30"/>
      <c r="C60" s="80">
        <f>E62/R11</f>
        <v>4781.2500000000009</v>
      </c>
      <c r="D60" s="30"/>
      <c r="E60" s="31"/>
    </row>
    <row r="61" spans="1:17" x14ac:dyDescent="0.25">
      <c r="A61" s="29"/>
      <c r="B61" s="30"/>
      <c r="C61" s="80"/>
      <c r="D61" s="30"/>
      <c r="E61" s="31"/>
    </row>
    <row r="62" spans="1:17" x14ac:dyDescent="0.25">
      <c r="A62" s="29" t="s">
        <v>19</v>
      </c>
      <c r="B62" s="30"/>
      <c r="C62" s="80"/>
      <c r="D62" s="30"/>
      <c r="E62" s="69">
        <f>R15*C59*1000</f>
        <v>767930.18232941453</v>
      </c>
    </row>
    <row r="63" spans="1:17" x14ac:dyDescent="0.25">
      <c r="A63" s="29"/>
      <c r="B63" s="30"/>
      <c r="C63" s="80"/>
      <c r="D63" s="30"/>
      <c r="E63" s="31"/>
    </row>
    <row r="64" spans="1:17" x14ac:dyDescent="0.25">
      <c r="A64" s="29" t="s">
        <v>20</v>
      </c>
      <c r="B64" s="30"/>
      <c r="C64" s="81">
        <v>0.2</v>
      </c>
      <c r="D64" s="30"/>
      <c r="E64" s="31"/>
    </row>
    <row r="65" spans="1:5" x14ac:dyDescent="0.25">
      <c r="A65" s="29"/>
      <c r="B65" s="30"/>
      <c r="C65" s="30"/>
      <c r="D65" s="30"/>
      <c r="E65" s="31"/>
    </row>
    <row r="66" spans="1:5" x14ac:dyDescent="0.25">
      <c r="A66" s="29" t="s">
        <v>21</v>
      </c>
      <c r="B66" s="30"/>
      <c r="C66" s="30"/>
      <c r="D66" s="30"/>
      <c r="E66" s="69">
        <f>SUM(H15:R15)*C64*1000</f>
        <v>41872.964686672363</v>
      </c>
    </row>
    <row r="67" spans="1:5" x14ac:dyDescent="0.25">
      <c r="A67" s="29"/>
      <c r="B67" s="30"/>
      <c r="C67" s="30"/>
      <c r="D67" s="30"/>
      <c r="E67" s="70"/>
    </row>
    <row r="68" spans="1:5" x14ac:dyDescent="0.25">
      <c r="A68" s="71" t="s">
        <v>22</v>
      </c>
      <c r="B68" s="30"/>
      <c r="C68" s="30"/>
      <c r="D68" s="30"/>
      <c r="E68" s="72">
        <f>(E66*0.25)*-1</f>
        <v>-10468.241171668091</v>
      </c>
    </row>
    <row r="69" spans="1:5" x14ac:dyDescent="0.25">
      <c r="A69" s="29"/>
      <c r="B69" s="30"/>
      <c r="C69" s="49"/>
      <c r="D69" s="49"/>
      <c r="E69" s="73"/>
    </row>
    <row r="70" spans="1:5" x14ac:dyDescent="0.25">
      <c r="A70" s="29" t="s">
        <v>23</v>
      </c>
      <c r="B70" s="30"/>
      <c r="C70" s="30"/>
      <c r="D70" s="30"/>
      <c r="E70" s="69">
        <f>SUM(E62:E68)</f>
        <v>799334.9058444188</v>
      </c>
    </row>
    <row r="71" spans="1:5" x14ac:dyDescent="0.25">
      <c r="A71" s="29"/>
      <c r="B71" s="30"/>
      <c r="C71" s="30"/>
      <c r="D71" s="30"/>
      <c r="E71" s="69"/>
    </row>
    <row r="72" spans="1:5" x14ac:dyDescent="0.25">
      <c r="A72" s="29" t="s">
        <v>24</v>
      </c>
      <c r="B72" s="30"/>
      <c r="C72" s="30"/>
      <c r="D72" s="30"/>
      <c r="E72" s="73">
        <f>E70/C49-1</f>
        <v>1.7862977710493437</v>
      </c>
    </row>
    <row r="73" spans="1:5" x14ac:dyDescent="0.25">
      <c r="A73" s="29"/>
      <c r="B73" s="30"/>
      <c r="C73" s="30"/>
      <c r="D73" s="30"/>
      <c r="E73" s="31"/>
    </row>
    <row r="74" spans="1:5" ht="16.5" thickBot="1" x14ac:dyDescent="0.3">
      <c r="A74" s="74" t="s">
        <v>25</v>
      </c>
      <c r="B74" s="75"/>
      <c r="C74" s="75"/>
      <c r="D74" s="75"/>
      <c r="E74" s="78">
        <f>(E70/C49)^(1/10)-1</f>
        <v>0.10790558775324333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Pessimistisches</vt:lpstr>
      <vt:lpstr>Optimistisches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chris_grca1ny</cp:lastModifiedBy>
  <cp:lastPrinted>2021-08-03T18:16:56Z</cp:lastPrinted>
  <dcterms:created xsi:type="dcterms:W3CDTF">2020-02-09T06:30:31Z</dcterms:created>
  <dcterms:modified xsi:type="dcterms:W3CDTF">2022-01-08T08:01:46Z</dcterms:modified>
</cp:coreProperties>
</file>