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OneDrive\Desktop\WirLiebenAktien\Aktienanalysen\Paypal\"/>
    </mc:Choice>
  </mc:AlternateContent>
  <bookViews>
    <workbookView xWindow="-120" yWindow="-120" windowWidth="29040" windowHeight="15720" activeTab="2"/>
  </bookViews>
  <sheets>
    <sheet name="Pessimistisch" sheetId="22" r:id="rId1"/>
    <sheet name="Optimistisch" sheetId="21" r:id="rId2"/>
    <sheet name="Bewertung 02.02.2022" sheetId="23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3" l="1"/>
  <c r="H15" i="23"/>
  <c r="E60" i="23"/>
  <c r="H11" i="23"/>
  <c r="I11" i="23"/>
  <c r="J11" i="23"/>
  <c r="K11" i="23"/>
  <c r="L11" i="23"/>
  <c r="M11" i="23"/>
  <c r="N11" i="23"/>
  <c r="O11" i="23"/>
  <c r="P11" i="23"/>
  <c r="P14" i="23"/>
  <c r="P15" i="23"/>
  <c r="O14" i="23"/>
  <c r="O15" i="23"/>
  <c r="N14" i="23"/>
  <c r="N15" i="23"/>
  <c r="M14" i="23"/>
  <c r="M15" i="23"/>
  <c r="L14" i="23"/>
  <c r="L15" i="23"/>
  <c r="K14" i="23"/>
  <c r="K15" i="23"/>
  <c r="J15" i="23"/>
  <c r="J14" i="23"/>
  <c r="I14" i="23"/>
  <c r="H14" i="23"/>
  <c r="C49" i="23"/>
  <c r="D30" i="23"/>
  <c r="D46" i="23"/>
  <c r="C55" i="23"/>
  <c r="H19" i="23"/>
  <c r="D50" i="23"/>
  <c r="H16" i="23"/>
  <c r="G14" i="21"/>
  <c r="F14" i="21"/>
  <c r="E14" i="21"/>
  <c r="D14" i="21"/>
  <c r="C14" i="21"/>
  <c r="G12" i="21"/>
  <c r="F12" i="21"/>
  <c r="E12" i="21"/>
  <c r="D12" i="21"/>
  <c r="D14" i="22"/>
  <c r="E14" i="22"/>
  <c r="F14" i="22"/>
  <c r="G14" i="22"/>
  <c r="C14" i="22"/>
  <c r="I11" i="22"/>
  <c r="J11" i="22"/>
  <c r="J15" i="22"/>
  <c r="I15" i="22"/>
  <c r="I14" i="22"/>
  <c r="K11" i="22"/>
  <c r="K15" i="22"/>
  <c r="D50" i="22"/>
  <c r="C49" i="22"/>
  <c r="D30" i="22"/>
  <c r="D46" i="22"/>
  <c r="C55" i="22"/>
  <c r="H15" i="22"/>
  <c r="H14" i="22"/>
  <c r="H16" i="22"/>
  <c r="K14" i="22"/>
  <c r="J14" i="22"/>
  <c r="H12" i="22"/>
  <c r="G12" i="22"/>
  <c r="F12" i="22"/>
  <c r="E12" i="22"/>
  <c r="D12" i="22"/>
  <c r="D50" i="21"/>
  <c r="L11" i="21"/>
  <c r="K15" i="21"/>
  <c r="J15" i="21"/>
  <c r="I15" i="21"/>
  <c r="H15" i="21"/>
  <c r="I19" i="22"/>
  <c r="J19" i="22"/>
  <c r="K16" i="22"/>
  <c r="L11" i="22"/>
  <c r="L14" i="22"/>
  <c r="L15" i="22"/>
  <c r="L19" i="22"/>
  <c r="I16" i="22"/>
  <c r="K19" i="22"/>
  <c r="H19" i="22"/>
  <c r="J16" i="22"/>
  <c r="M11" i="21"/>
  <c r="N11" i="21"/>
  <c r="L14" i="21"/>
  <c r="L15" i="21"/>
  <c r="C49" i="21"/>
  <c r="D30" i="21"/>
  <c r="D46" i="21"/>
  <c r="C55" i="21"/>
  <c r="I19" i="21"/>
  <c r="K14" i="21"/>
  <c r="K16" i="21"/>
  <c r="J14" i="21"/>
  <c r="I14" i="21"/>
  <c r="I16" i="21"/>
  <c r="H14" i="21"/>
  <c r="H16" i="21"/>
  <c r="K12" i="21"/>
  <c r="J12" i="21"/>
  <c r="I12" i="21"/>
  <c r="H12" i="21"/>
  <c r="M11" i="22"/>
  <c r="N11" i="22"/>
  <c r="L19" i="21"/>
  <c r="O11" i="21"/>
  <c r="N14" i="21"/>
  <c r="N15" i="21"/>
  <c r="N19" i="21"/>
  <c r="M14" i="21"/>
  <c r="M15" i="21"/>
  <c r="K19" i="21"/>
  <c r="J19" i="21"/>
  <c r="J16" i="21"/>
  <c r="H19" i="21"/>
  <c r="M14" i="22"/>
  <c r="M15" i="22"/>
  <c r="M19" i="22"/>
  <c r="O11" i="22"/>
  <c r="N14" i="22"/>
  <c r="N15" i="22"/>
  <c r="N19" i="22"/>
  <c r="P11" i="21"/>
  <c r="O14" i="21"/>
  <c r="O15" i="21"/>
  <c r="O19" i="21"/>
  <c r="M19" i="21"/>
  <c r="P11" i="22"/>
  <c r="O14" i="22"/>
  <c r="O15" i="22"/>
  <c r="P14" i="21"/>
  <c r="P15" i="21"/>
  <c r="Q11" i="21"/>
  <c r="O19" i="22"/>
  <c r="P14" i="22"/>
  <c r="P15" i="22"/>
  <c r="Q11" i="22"/>
  <c r="Q14" i="21"/>
  <c r="Q15" i="21"/>
  <c r="R11" i="21"/>
  <c r="R14" i="21"/>
  <c r="R15" i="21"/>
  <c r="P19" i="21"/>
  <c r="R11" i="22"/>
  <c r="R14" i="22"/>
  <c r="R15" i="22"/>
  <c r="Q14" i="22"/>
  <c r="Q15" i="22"/>
  <c r="D44" i="22"/>
  <c r="P19" i="22"/>
  <c r="R19" i="21"/>
  <c r="E60" i="21"/>
  <c r="C58" i="21"/>
  <c r="D40" i="21"/>
  <c r="Q19" i="21"/>
  <c r="D42" i="21"/>
  <c r="D44" i="21"/>
  <c r="E64" i="21"/>
  <c r="E66" i="21"/>
  <c r="D43" i="21"/>
  <c r="D41" i="21"/>
  <c r="E60" i="22"/>
  <c r="R19" i="22"/>
  <c r="Q19" i="22"/>
  <c r="D42" i="22"/>
  <c r="D43" i="22"/>
  <c r="E64" i="22"/>
  <c r="E66" i="22"/>
  <c r="D40" i="22"/>
  <c r="D41" i="22"/>
  <c r="E68" i="21"/>
  <c r="E70" i="21"/>
  <c r="D49" i="21"/>
  <c r="D51" i="21"/>
  <c r="D53" i="21"/>
  <c r="D49" i="22"/>
  <c r="D51" i="22"/>
  <c r="E68" i="22"/>
  <c r="C58" i="22"/>
  <c r="E72" i="21"/>
  <c r="D52" i="21"/>
  <c r="E70" i="22"/>
  <c r="E72" i="22"/>
  <c r="D53" i="22"/>
  <c r="D52" i="22"/>
  <c r="I19" i="23"/>
  <c r="I16" i="23"/>
  <c r="J16" i="23"/>
  <c r="J19" i="23"/>
  <c r="Q11" i="23"/>
  <c r="Q14" i="23"/>
  <c r="Q15" i="23"/>
  <c r="R11" i="23"/>
  <c r="R14" i="23"/>
  <c r="R15" i="23"/>
  <c r="E64" i="23"/>
  <c r="E66" i="23"/>
  <c r="E68" i="23"/>
  <c r="E72" i="23"/>
  <c r="E70" i="23"/>
  <c r="C58" i="23"/>
  <c r="L19" i="23"/>
  <c r="M19" i="23"/>
  <c r="N19" i="23"/>
  <c r="O19" i="23"/>
  <c r="P19" i="23"/>
  <c r="Q19" i="23"/>
  <c r="R19" i="23"/>
  <c r="K19" i="23"/>
  <c r="D49" i="23"/>
  <c r="D51" i="23"/>
  <c r="D53" i="23"/>
  <c r="D52" i="23"/>
  <c r="D44" i="23"/>
  <c r="D43" i="23"/>
  <c r="D42" i="23"/>
  <c r="D41" i="23"/>
  <c r="D40" i="23"/>
  <c r="K16" i="23"/>
</calcChain>
</file>

<file path=xl/sharedStrings.xml><?xml version="1.0" encoding="utf-8"?>
<sst xmlns="http://schemas.openxmlformats.org/spreadsheetml/2006/main" count="126" uniqueCount="41">
  <si>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</si>
  <si>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</si>
  <si>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</si>
  <si>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</si>
  <si>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</si>
  <si>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</si>
  <si>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</si>
  <si>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</si>
  <si>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</si>
  <si>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</si>
  <si>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</si>
  <si>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</si>
  <si>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</si>
  <si>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</si>
  <si>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</si>
  <si>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</si>
  <si>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</si>
  <si>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</si>
  <si>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</si>
  <si>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</si>
  <si>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</si>
  <si>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</si>
  <si>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</si>
  <si>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</si>
  <si>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</si>
  <si>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</si>
  <si>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</si>
  <si>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</si>
  <si>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</si>
  <si>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</si>
  <si>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>25 % Abschlag vom EBIT für Zins und Steuern</t>
  </si>
  <si>
    <t xml:space="preserve">Umsatzmultiple </t>
  </si>
  <si>
    <t>Gewinn (25% Zinsen/Steuern/sonstiges)</t>
  </si>
  <si>
    <t xml:space="preserve">Optimistische Annahmen für </t>
  </si>
  <si>
    <t>(ab 2025)</t>
  </si>
  <si>
    <t>USD</t>
  </si>
  <si>
    <t>Sicherheitszuschlag, starke Konkurrenz</t>
  </si>
  <si>
    <t>EK Quote relativ niedrig, aber viel Cash vorhanden.</t>
  </si>
  <si>
    <t>Fintech</t>
  </si>
  <si>
    <t>Alle Angaben in Mio. PayPal</t>
  </si>
  <si>
    <t>2032ff.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</si>
</sst>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</cellXfs>
  <cellStyles count="3">
    <cellStyle name="Prozent" xfId="1" builtinId="5"/>
    <cellStyle name="Prozent 2" xfId="2"/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DD32A510-1FAD-4EC7-86D0-F5629930BE99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FD2B8248-B03E-426B-BE61-981E3FA79289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zoomScale="90" zoomScaleNormal="90" workbookViewId="0">
      <selection activeCell="C11" sqref="C11:G15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33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4">
        <v>2021</v>
      </c>
      <c r="I10" s="64">
        <v>2022</v>
      </c>
      <c r="J10" s="64">
        <v>2023</v>
      </c>
      <c r="K10" s="64">
        <v>2024</v>
      </c>
      <c r="L10" s="64">
        <v>2025</v>
      </c>
      <c r="M10" s="64">
        <v>2026</v>
      </c>
      <c r="N10" s="64">
        <v>2027</v>
      </c>
      <c r="O10" s="64">
        <v>2028</v>
      </c>
      <c r="P10" s="64">
        <v>2029</v>
      </c>
      <c r="Q10" s="64">
        <v>2030</v>
      </c>
      <c r="R10" s="63" t="s">
        <v>16</v>
      </c>
    </row>
    <row r="11" spans="1:28" x14ac:dyDescent="0.25">
      <c r="A11" s="5"/>
      <c r="B11" s="4" t="s">
        <v>4</v>
      </c>
      <c r="C11" s="85">
        <v>10842</v>
      </c>
      <c r="D11" s="85">
        <v>13094</v>
      </c>
      <c r="E11" s="85">
        <v>15451</v>
      </c>
      <c r="F11" s="85">
        <v>17772</v>
      </c>
      <c r="G11" s="85">
        <v>21454</v>
      </c>
      <c r="H11" s="14">
        <v>25332.14</v>
      </c>
      <c r="I11" s="14">
        <f t="shared" ref="I11" si="0">H11*(1+I12)</f>
        <v>29131.960999999996</v>
      </c>
      <c r="J11" s="14">
        <f t="shared" ref="J11" si="1">I11*(1+J12)</f>
        <v>33501.75514999999</v>
      </c>
      <c r="K11" s="14">
        <f t="shared" ref="K11" si="2">J11*(1+K12)</f>
        <v>38527.018422499983</v>
      </c>
      <c r="L11" s="14">
        <f t="shared" ref="L11:R11" si="3">K11*(1+L12)</f>
        <v>44306.071185874978</v>
      </c>
      <c r="M11" s="14">
        <f t="shared" si="3"/>
        <v>48736.678304462483</v>
      </c>
      <c r="N11" s="14">
        <f t="shared" si="3"/>
        <v>44837.744040105485</v>
      </c>
      <c r="O11" s="14">
        <f t="shared" si="3"/>
        <v>51563.405646121304</v>
      </c>
      <c r="P11" s="14">
        <f t="shared" si="3"/>
        <v>55688.478097811014</v>
      </c>
      <c r="Q11" s="14">
        <f t="shared" si="3"/>
        <v>60143.556345635901</v>
      </c>
      <c r="R11" s="14">
        <f t="shared" si="3"/>
        <v>61797.504145140891</v>
      </c>
    </row>
    <row r="12" spans="1:28" x14ac:dyDescent="0.25">
      <c r="A12" s="5"/>
      <c r="B12" s="4" t="s">
        <v>1</v>
      </c>
      <c r="C12" s="12"/>
      <c r="D12" s="12">
        <f t="shared" ref="D12:H12" si="4">D11/C11-1</f>
        <v>0.20771075447334431</v>
      </c>
      <c r="E12" s="12">
        <f t="shared" si="4"/>
        <v>0.18000610966855057</v>
      </c>
      <c r="F12" s="12">
        <f t="shared" si="4"/>
        <v>0.15021681444566704</v>
      </c>
      <c r="G12" s="12">
        <f t="shared" si="4"/>
        <v>0.20717983344586988</v>
      </c>
      <c r="H12" s="65">
        <f t="shared" si="4"/>
        <v>0.18076535844131625</v>
      </c>
      <c r="I12" s="65">
        <v>0.15</v>
      </c>
      <c r="J12" s="65">
        <v>0.15</v>
      </c>
      <c r="K12" s="65">
        <v>0.15</v>
      </c>
      <c r="L12" s="65">
        <v>0.15</v>
      </c>
      <c r="M12" s="65">
        <v>0.1</v>
      </c>
      <c r="N12" s="65">
        <v>-0.08</v>
      </c>
      <c r="O12" s="15">
        <v>0.15</v>
      </c>
      <c r="P12" s="15">
        <v>0.08</v>
      </c>
      <c r="Q12" s="15">
        <v>0.08</v>
      </c>
      <c r="R12" s="15">
        <v>2.75E-2</v>
      </c>
    </row>
    <row r="13" spans="1:28" ht="15.95" customHeight="1" x14ac:dyDescent="0.25">
      <c r="A13" s="5"/>
      <c r="B13" s="4" t="s">
        <v>18</v>
      </c>
      <c r="C13" s="12">
        <v>0.14628297362110312</v>
      </c>
      <c r="D13" s="12">
        <v>0.16244081258591719</v>
      </c>
      <c r="E13" s="12">
        <v>0.1419972817293379</v>
      </c>
      <c r="F13" s="12">
        <v>0.15299347287868559</v>
      </c>
      <c r="G13" s="12">
        <v>0.15330474503589075</v>
      </c>
      <c r="H13" s="65">
        <v>0.25230000000000002</v>
      </c>
      <c r="I13" s="65">
        <v>0.24</v>
      </c>
      <c r="J13" s="65">
        <v>0.24</v>
      </c>
      <c r="K13" s="65">
        <v>0.25</v>
      </c>
      <c r="L13" s="65">
        <v>0.25</v>
      </c>
      <c r="M13" s="65">
        <v>0.27</v>
      </c>
      <c r="N13" s="65">
        <v>0.22</v>
      </c>
      <c r="O13" s="65">
        <v>0.27</v>
      </c>
      <c r="P13" s="65">
        <v>0.27</v>
      </c>
      <c r="Q13" s="65">
        <v>0.27</v>
      </c>
      <c r="R13" s="65">
        <v>0.27</v>
      </c>
    </row>
    <row r="14" spans="1:28" ht="17.100000000000001" customHeight="1" x14ac:dyDescent="0.25">
      <c r="A14" s="5"/>
      <c r="B14" s="4" t="s">
        <v>19</v>
      </c>
      <c r="C14" s="85">
        <f>C11*C13</f>
        <v>1586</v>
      </c>
      <c r="D14" s="85">
        <f t="shared" ref="D14:G14" si="5">D11*D13</f>
        <v>2126.9999999999995</v>
      </c>
      <c r="E14" s="85">
        <f t="shared" si="5"/>
        <v>2194</v>
      </c>
      <c r="F14" s="85">
        <f t="shared" si="5"/>
        <v>2719.0000000000005</v>
      </c>
      <c r="G14" s="85">
        <f t="shared" si="5"/>
        <v>3289.0000000000005</v>
      </c>
      <c r="H14" s="14">
        <f>H11*H13</f>
        <v>6391.2989220000009</v>
      </c>
      <c r="I14" s="14">
        <f>I11*I13</f>
        <v>6991.6706399999985</v>
      </c>
      <c r="J14" s="14">
        <f>J11*J13</f>
        <v>8040.4212359999974</v>
      </c>
      <c r="K14" s="14">
        <f>K11*K13</f>
        <v>9631.7546056249957</v>
      </c>
      <c r="L14" s="14">
        <f t="shared" ref="L14:R14" si="6">L11*L13</f>
        <v>11076.517796468745</v>
      </c>
      <c r="M14" s="14">
        <f t="shared" si="6"/>
        <v>13158.903142204872</v>
      </c>
      <c r="N14" s="14">
        <f t="shared" si="6"/>
        <v>9864.3036888232073</v>
      </c>
      <c r="O14" s="14">
        <f>O11*O13</f>
        <v>13922.119524452753</v>
      </c>
      <c r="P14" s="14">
        <f t="shared" si="6"/>
        <v>15035.889086408975</v>
      </c>
      <c r="Q14" s="14">
        <f t="shared" si="6"/>
        <v>16238.760213321695</v>
      </c>
      <c r="R14" s="14">
        <f t="shared" si="6"/>
        <v>16685.326119188041</v>
      </c>
    </row>
    <row r="15" spans="1:28" ht="16.5" thickBot="1" x14ac:dyDescent="0.3">
      <c r="A15" s="13">
        <v>0.25</v>
      </c>
      <c r="B15" s="4" t="s">
        <v>32</v>
      </c>
      <c r="C15" s="86">
        <v>1401</v>
      </c>
      <c r="D15" s="85">
        <v>1795</v>
      </c>
      <c r="E15" s="85">
        <v>2057</v>
      </c>
      <c r="F15" s="85">
        <v>2459</v>
      </c>
      <c r="G15" s="85">
        <v>4202</v>
      </c>
      <c r="H15" s="14">
        <f>H11*0.2161</f>
        <v>5474.2754539999996</v>
      </c>
      <c r="I15" s="14">
        <f>I11*0.2</f>
        <v>5826.3921999999993</v>
      </c>
      <c r="J15" s="14">
        <f>J11*0.2</f>
        <v>6700.351029999998</v>
      </c>
      <c r="K15" s="14">
        <f>K11*0.2255</f>
        <v>8687.842654273747</v>
      </c>
      <c r="L15" s="14">
        <f t="shared" ref="L15:Q15" si="7">L14*(1-$A$15)</f>
        <v>8307.388347351558</v>
      </c>
      <c r="M15" s="14">
        <f t="shared" si="7"/>
        <v>9869.177356653654</v>
      </c>
      <c r="N15" s="14">
        <f t="shared" si="7"/>
        <v>7398.227766617405</v>
      </c>
      <c r="O15" s="14">
        <f t="shared" si="7"/>
        <v>10441.589643339565</v>
      </c>
      <c r="P15" s="14">
        <f t="shared" si="7"/>
        <v>11276.916814806731</v>
      </c>
      <c r="Q15" s="14">
        <f t="shared" si="7"/>
        <v>12179.070159991272</v>
      </c>
      <c r="R15" s="14">
        <f>R14*(1-$A$15)</f>
        <v>12513.99458939103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/>
      <c r="G16" s="19"/>
      <c r="H16" s="19">
        <f>H15/H14</f>
        <v>0.85652001585414173</v>
      </c>
      <c r="I16" s="19">
        <f>I15/I14</f>
        <v>0.83333333333333337</v>
      </c>
      <c r="J16" s="19">
        <f>J15/J14</f>
        <v>0.83333333333333337</v>
      </c>
      <c r="K16" s="19">
        <f>K15/K14</f>
        <v>0.90200000000000014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4976.6140490909083</v>
      </c>
      <c r="I19" s="61">
        <f>I15/(1+$C$55)^2</f>
        <v>4815.200165289255</v>
      </c>
      <c r="J19" s="61">
        <f>J15/(1+$C$55)^3</f>
        <v>5034.072900075128</v>
      </c>
      <c r="K19" s="61">
        <f>K15/(1+$C$55)^4</f>
        <v>5933.9134309635574</v>
      </c>
      <c r="L19" s="61">
        <f>L15/(1+$C$55)^5</f>
        <v>5158.2345638037359</v>
      </c>
      <c r="M19" s="61">
        <f>M15/(1+$C$55)^6</f>
        <v>5570.893328908036</v>
      </c>
      <c r="N19" s="61">
        <f>N15/(1+$C$55)^7</f>
        <v>3796.4606389595497</v>
      </c>
      <c r="O19" s="61">
        <f>O15/(1+$C$55)^8</f>
        <v>4871.0786297394225</v>
      </c>
      <c r="P19" s="61">
        <f>P15/(1+$C$55)^9</f>
        <v>4782.5135637441599</v>
      </c>
      <c r="Q19" s="61">
        <f>Q15/(1+$C$55)^10</f>
        <v>4695.5587716760847</v>
      </c>
      <c r="R19" s="62">
        <f>(R15/(C55-R12))/(1+C55)^10</f>
        <v>66547.401902030033</v>
      </c>
    </row>
    <row r="20" spans="1:18" x14ac:dyDescent="0.25">
      <c r="A20" s="2"/>
      <c r="C20" s="1" t="s">
        <v>30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34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28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38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36</v>
      </c>
      <c r="C26" s="42"/>
      <c r="D26" s="44">
        <v>0.01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0.09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37</v>
      </c>
      <c r="C34" s="48"/>
      <c r="D34" s="33">
        <v>0.01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29</v>
      </c>
      <c r="C46" s="35"/>
      <c r="D46" s="51">
        <f>D30+D34</f>
        <v>9.9999999999999992E-2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44526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220640.1047</v>
      </c>
      <c r="D49" s="55">
        <f>SUM(H19:R19)</f>
        <v>116181.94194427988</v>
      </c>
      <c r="E49" s="53" t="s">
        <v>35</v>
      </c>
    </row>
    <row r="50" spans="1:10" x14ac:dyDescent="0.25">
      <c r="A50" s="52"/>
      <c r="B50" s="53" t="s">
        <v>13</v>
      </c>
      <c r="C50" s="54">
        <v>1174.93</v>
      </c>
      <c r="D50" s="54">
        <f>C50</f>
        <v>1174.93</v>
      </c>
      <c r="E50" s="53"/>
    </row>
    <row r="51" spans="1:10" x14ac:dyDescent="0.25">
      <c r="A51" s="52"/>
      <c r="B51" s="53" t="s">
        <v>15</v>
      </c>
      <c r="C51" s="66">
        <v>187.79</v>
      </c>
      <c r="D51" s="66">
        <f>D49/(D50)</f>
        <v>98.884139433225698</v>
      </c>
      <c r="E51" s="53" t="s">
        <v>35</v>
      </c>
    </row>
    <row r="52" spans="1:10" x14ac:dyDescent="0.25">
      <c r="A52" s="52"/>
      <c r="B52" s="53" t="s">
        <v>2</v>
      </c>
      <c r="C52" s="53"/>
      <c r="D52" s="67">
        <f>IF(C51/D51-1&gt;0,0,C51/D51-1)</f>
        <v>0</v>
      </c>
      <c r="E52" s="53"/>
    </row>
    <row r="53" spans="1:10" x14ac:dyDescent="0.25">
      <c r="A53" s="52"/>
      <c r="B53" s="53" t="s">
        <v>17</v>
      </c>
      <c r="C53" s="53"/>
      <c r="D53" s="68">
        <f>IF(C51/D51-1&lt;0,0,C51/D51-1)</f>
        <v>0.89909120993878378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28</v>
      </c>
      <c r="B55" s="53"/>
      <c r="C55" s="58">
        <f>D46</f>
        <v>9.9999999999999992E-2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27</v>
      </c>
      <c r="B57" s="28"/>
      <c r="C57" s="80">
        <v>27</v>
      </c>
      <c r="D57" s="28"/>
      <c r="E57" s="29"/>
    </row>
    <row r="58" spans="1:10" x14ac:dyDescent="0.25">
      <c r="A58" s="30" t="s">
        <v>31</v>
      </c>
      <c r="B58" s="31"/>
      <c r="C58" s="81">
        <f>E60/R11</f>
        <v>5.4675000000000002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20</v>
      </c>
      <c r="B60" s="31"/>
      <c r="C60" s="81"/>
      <c r="D60" s="31"/>
      <c r="E60" s="70">
        <f>R15*C57</f>
        <v>337877.85391355783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21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22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23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24</v>
      </c>
      <c r="B68" s="31"/>
      <c r="C68" s="31"/>
      <c r="D68" s="31"/>
      <c r="E68" s="70">
        <f>SUM(E60:E66)</f>
        <v>337877.85391355783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25</v>
      </c>
      <c r="B70" s="31"/>
      <c r="C70" s="31"/>
      <c r="D70" s="31"/>
      <c r="E70" s="74">
        <f>E68/C49-1</f>
        <v>0.53135285343053873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26</v>
      </c>
      <c r="B72" s="76"/>
      <c r="C72" s="76"/>
      <c r="D72" s="76"/>
      <c r="E72" s="79">
        <f>(E68/C49)^(1/10)-1</f>
        <v>4.3536219187397363E-2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L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opLeftCell="A10" zoomScale="90" zoomScaleNormal="90" workbookViewId="0">
      <selection activeCell="R11" sqref="R1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33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4">
        <v>2021</v>
      </c>
      <c r="I10" s="64">
        <v>2022</v>
      </c>
      <c r="J10" s="64">
        <v>2023</v>
      </c>
      <c r="K10" s="64">
        <v>2024</v>
      </c>
      <c r="L10" s="64">
        <v>2025</v>
      </c>
      <c r="M10" s="64">
        <v>2026</v>
      </c>
      <c r="N10" s="64">
        <v>2027</v>
      </c>
      <c r="O10" s="64">
        <v>2028</v>
      </c>
      <c r="P10" s="64">
        <v>2029</v>
      </c>
      <c r="Q10" s="64">
        <v>2030</v>
      </c>
      <c r="R10" s="63" t="s">
        <v>16</v>
      </c>
    </row>
    <row r="11" spans="1:28" x14ac:dyDescent="0.25">
      <c r="A11" s="5"/>
      <c r="B11" s="4" t="s">
        <v>4</v>
      </c>
      <c r="C11" s="85">
        <v>10842</v>
      </c>
      <c r="D11" s="85">
        <v>13094</v>
      </c>
      <c r="E11" s="85">
        <v>15451</v>
      </c>
      <c r="F11" s="85">
        <v>17772</v>
      </c>
      <c r="G11" s="85">
        <v>21454</v>
      </c>
      <c r="H11" s="14">
        <v>25332.14</v>
      </c>
      <c r="I11" s="14">
        <v>30063.29</v>
      </c>
      <c r="J11" s="14">
        <v>36494.29</v>
      </c>
      <c r="K11" s="14">
        <v>43831.199999999997</v>
      </c>
      <c r="L11" s="14">
        <f t="shared" ref="L11:R11" si="0">K11*(1+L12)</f>
        <v>52597.439999999995</v>
      </c>
      <c r="M11" s="14">
        <f t="shared" si="0"/>
        <v>63116.927999999993</v>
      </c>
      <c r="N11" s="14">
        <f t="shared" si="0"/>
        <v>72584.467199999985</v>
      </c>
      <c r="O11" s="14">
        <f t="shared" si="0"/>
        <v>83472.137279999981</v>
      </c>
      <c r="P11" s="14">
        <f t="shared" si="0"/>
        <v>91819.351007999983</v>
      </c>
      <c r="Q11" s="14">
        <f t="shared" si="0"/>
        <v>101001.28610879999</v>
      </c>
      <c r="R11" s="14">
        <f t="shared" si="0"/>
        <v>104536.33112260798</v>
      </c>
    </row>
    <row r="12" spans="1:28" x14ac:dyDescent="0.25">
      <c r="A12" s="5"/>
      <c r="B12" s="4" t="s">
        <v>1</v>
      </c>
      <c r="C12" s="12"/>
      <c r="D12" s="12">
        <f t="shared" ref="D12:G12" si="1">D11/C11-1</f>
        <v>0.20771075447334431</v>
      </c>
      <c r="E12" s="12">
        <f t="shared" si="1"/>
        <v>0.18000610966855057</v>
      </c>
      <c r="F12" s="12">
        <f t="shared" si="1"/>
        <v>0.15021681444566704</v>
      </c>
      <c r="G12" s="12">
        <f t="shared" si="1"/>
        <v>0.20717983344586988</v>
      </c>
      <c r="H12" s="65">
        <f t="shared" ref="H12:K12" si="2">H11/G11-1</f>
        <v>0.18076535844131625</v>
      </c>
      <c r="I12" s="65">
        <f t="shared" si="2"/>
        <v>0.18676471865385236</v>
      </c>
      <c r="J12" s="65">
        <f t="shared" si="2"/>
        <v>0.21391537652731962</v>
      </c>
      <c r="K12" s="65">
        <f t="shared" si="2"/>
        <v>0.2010426836636634</v>
      </c>
      <c r="L12" s="65">
        <v>0.2</v>
      </c>
      <c r="M12" s="65">
        <v>0.2</v>
      </c>
      <c r="N12" s="65">
        <v>0.15</v>
      </c>
      <c r="O12" s="15">
        <v>0.15</v>
      </c>
      <c r="P12" s="15">
        <v>0.1</v>
      </c>
      <c r="Q12" s="15">
        <v>0.1</v>
      </c>
      <c r="R12" s="15">
        <v>3.5000000000000003E-2</v>
      </c>
    </row>
    <row r="13" spans="1:28" ht="15.95" customHeight="1" x14ac:dyDescent="0.25">
      <c r="A13" s="5"/>
      <c r="B13" s="4" t="s">
        <v>18</v>
      </c>
      <c r="C13" s="12">
        <v>0.14628297362110312</v>
      </c>
      <c r="D13" s="12">
        <v>0.16244081258591719</v>
      </c>
      <c r="E13" s="12">
        <v>0.1419972817293379</v>
      </c>
      <c r="F13" s="12">
        <v>0.15299347287868559</v>
      </c>
      <c r="G13" s="12">
        <v>0.15330474503589075</v>
      </c>
      <c r="H13" s="65">
        <v>0.25230000000000002</v>
      </c>
      <c r="I13" s="65">
        <v>0.249</v>
      </c>
      <c r="J13" s="65">
        <v>0.25969999999999999</v>
      </c>
      <c r="K13" s="65">
        <v>0.27</v>
      </c>
      <c r="L13" s="65">
        <v>0.28000000000000003</v>
      </c>
      <c r="M13" s="65">
        <v>0.28000000000000003</v>
      </c>
      <c r="N13" s="65">
        <v>0.26</v>
      </c>
      <c r="O13" s="65">
        <v>0.28000000000000003</v>
      </c>
      <c r="P13" s="65">
        <v>0.28999999999999998</v>
      </c>
      <c r="Q13" s="65">
        <v>0.28000000000000003</v>
      </c>
      <c r="R13" s="65">
        <v>0.31</v>
      </c>
    </row>
    <row r="14" spans="1:28" ht="17.100000000000001" customHeight="1" x14ac:dyDescent="0.25">
      <c r="A14" s="5"/>
      <c r="B14" s="4" t="s">
        <v>19</v>
      </c>
      <c r="C14" s="85">
        <f>C11*C13</f>
        <v>1586</v>
      </c>
      <c r="D14" s="85">
        <f t="shared" ref="D14:G14" si="3">D11*D13</f>
        <v>2126.9999999999995</v>
      </c>
      <c r="E14" s="85">
        <f t="shared" si="3"/>
        <v>2194</v>
      </c>
      <c r="F14" s="85">
        <f t="shared" si="3"/>
        <v>2719.0000000000005</v>
      </c>
      <c r="G14" s="85">
        <f t="shared" si="3"/>
        <v>3289.0000000000005</v>
      </c>
      <c r="H14" s="14">
        <f>H11*H13</f>
        <v>6391.2989220000009</v>
      </c>
      <c r="I14" s="14">
        <f>I11*I13</f>
        <v>7485.7592100000002</v>
      </c>
      <c r="J14" s="14">
        <f>J11*J13</f>
        <v>9477.5671129999992</v>
      </c>
      <c r="K14" s="14">
        <f>K11*K13</f>
        <v>11834.424000000001</v>
      </c>
      <c r="L14" s="14">
        <f t="shared" ref="L14:R14" si="4">L11*L13</f>
        <v>14727.2832</v>
      </c>
      <c r="M14" s="14">
        <f t="shared" si="4"/>
        <v>17672.739839999998</v>
      </c>
      <c r="N14" s="14">
        <f t="shared" si="4"/>
        <v>18871.961471999995</v>
      </c>
      <c r="O14" s="14">
        <f>O11*O13</f>
        <v>23372.198438399995</v>
      </c>
      <c r="P14" s="14">
        <f t="shared" si="4"/>
        <v>26627.611792319993</v>
      </c>
      <c r="Q14" s="14">
        <f t="shared" si="4"/>
        <v>28280.360110464</v>
      </c>
      <c r="R14" s="14">
        <f t="shared" si="4"/>
        <v>32406.262648008473</v>
      </c>
    </row>
    <row r="15" spans="1:28" ht="16.5" thickBot="1" x14ac:dyDescent="0.3">
      <c r="A15" s="13">
        <v>0.25</v>
      </c>
      <c r="B15" s="4" t="s">
        <v>32</v>
      </c>
      <c r="C15" s="86">
        <v>1401</v>
      </c>
      <c r="D15" s="85">
        <v>1795</v>
      </c>
      <c r="E15" s="85">
        <v>2057</v>
      </c>
      <c r="F15" s="85">
        <v>2459</v>
      </c>
      <c r="G15" s="85">
        <v>4202</v>
      </c>
      <c r="H15" s="14">
        <f>H11*0.2161</f>
        <v>5474.2754539999996</v>
      </c>
      <c r="I15" s="14">
        <f>I11*0.2077</f>
        <v>6244.1453330000004</v>
      </c>
      <c r="J15" s="14">
        <f>J11*0.2157</f>
        <v>7871.8183530000006</v>
      </c>
      <c r="K15" s="14">
        <f>K11*0.2255</f>
        <v>9883.9355999999989</v>
      </c>
      <c r="L15" s="14">
        <f t="shared" ref="L15:Q15" si="5">L14*(1-$A$15)</f>
        <v>11045.4624</v>
      </c>
      <c r="M15" s="14">
        <f t="shared" si="5"/>
        <v>13254.55488</v>
      </c>
      <c r="N15" s="14">
        <f t="shared" si="5"/>
        <v>14153.971103999997</v>
      </c>
      <c r="O15" s="14">
        <f t="shared" si="5"/>
        <v>17529.148828799996</v>
      </c>
      <c r="P15" s="14">
        <f t="shared" si="5"/>
        <v>19970.708844239995</v>
      </c>
      <c r="Q15" s="14">
        <f t="shared" si="5"/>
        <v>21210.270082848001</v>
      </c>
      <c r="R15" s="14">
        <f>R14*(1-$A$15)</f>
        <v>24304.696986006355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/>
      <c r="G16" s="19"/>
      <c r="H16" s="19">
        <f>H15/H14</f>
        <v>0.85652001585414173</v>
      </c>
      <c r="I16" s="19">
        <f>I15/I14</f>
        <v>0.83413654618473898</v>
      </c>
      <c r="J16" s="19">
        <f>J15/J14</f>
        <v>0.83057373892953423</v>
      </c>
      <c r="K16" s="19">
        <f>K15/K14</f>
        <v>0.83518518518518503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4976.6140490909083</v>
      </c>
      <c r="I19" s="61">
        <f>I15/(1+$C$55)^2</f>
        <v>5160.4506884297516</v>
      </c>
      <c r="J19" s="61">
        <f>J15/(1+$C$55)^3</f>
        <v>5914.2136386175798</v>
      </c>
      <c r="K19" s="61">
        <f>K15/(1+$C$55)^4</f>
        <v>6750.861006761831</v>
      </c>
      <c r="L19" s="61">
        <f>L15/(1+$C$55)^5</f>
        <v>6858.3631272081493</v>
      </c>
      <c r="M19" s="61">
        <f>M15/(1+$C$55)^6</f>
        <v>7481.8506842270708</v>
      </c>
      <c r="N19" s="61">
        <f>N15/(1+$C$55)^7</f>
        <v>7263.2251772204327</v>
      </c>
      <c r="O19" s="61">
        <f>O15/(1+$C$55)^8</f>
        <v>8177.4772974299985</v>
      </c>
      <c r="P19" s="61">
        <f>P15/(1+$C$55)^9</f>
        <v>8469.5300580524981</v>
      </c>
      <c r="Q19" s="61">
        <f>Q15/(1+$C$55)^10</f>
        <v>8177.4772974299995</v>
      </c>
      <c r="R19" s="62">
        <f>(R15/(C55-R12))/(1+C55)^10</f>
        <v>144161.73576266019</v>
      </c>
    </row>
    <row r="20" spans="1:18" x14ac:dyDescent="0.25">
      <c r="A20" s="2"/>
      <c r="C20" s="1" t="s">
        <v>30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34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28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38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36</v>
      </c>
      <c r="C26" s="42"/>
      <c r="D26" s="44">
        <v>0.01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0.09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37</v>
      </c>
      <c r="C34" s="48"/>
      <c r="D34" s="33">
        <v>0.01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29</v>
      </c>
      <c r="C46" s="35"/>
      <c r="D46" s="51">
        <f>D30+D34</f>
        <v>9.9999999999999992E-2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44526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220640.1047</v>
      </c>
      <c r="D49" s="55">
        <f>SUM(H19:R19)</f>
        <v>213391.79878712841</v>
      </c>
      <c r="E49" s="53" t="s">
        <v>35</v>
      </c>
    </row>
    <row r="50" spans="1:10" x14ac:dyDescent="0.25">
      <c r="A50" s="52"/>
      <c r="B50" s="53" t="s">
        <v>13</v>
      </c>
      <c r="C50" s="54">
        <v>1174.93</v>
      </c>
      <c r="D50" s="54">
        <f>C50</f>
        <v>1174.93</v>
      </c>
      <c r="E50" s="53"/>
    </row>
    <row r="51" spans="1:10" x14ac:dyDescent="0.25">
      <c r="A51" s="52"/>
      <c r="B51" s="53" t="s">
        <v>15</v>
      </c>
      <c r="C51" s="66">
        <v>187.79</v>
      </c>
      <c r="D51" s="66">
        <f>D49/(D50)</f>
        <v>181.6208614871766</v>
      </c>
      <c r="E51" s="53" t="s">
        <v>35</v>
      </c>
    </row>
    <row r="52" spans="1:10" x14ac:dyDescent="0.25">
      <c r="A52" s="52"/>
      <c r="B52" s="53" t="s">
        <v>2</v>
      </c>
      <c r="C52" s="53"/>
      <c r="D52" s="67">
        <f>IF(C51/D51-1&gt;0,0,C51/D51-1)</f>
        <v>0</v>
      </c>
      <c r="E52" s="53"/>
    </row>
    <row r="53" spans="1:10" x14ac:dyDescent="0.25">
      <c r="A53" s="52"/>
      <c r="B53" s="53" t="s">
        <v>17</v>
      </c>
      <c r="C53" s="53"/>
      <c r="D53" s="68">
        <f>IF(C51/D51-1&lt;0,0,C51/D51-1)</f>
        <v>3.3967125044492619E-2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28</v>
      </c>
      <c r="B55" s="53"/>
      <c r="C55" s="58">
        <f>D46</f>
        <v>9.9999999999999992E-2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27</v>
      </c>
      <c r="B57" s="28"/>
      <c r="C57" s="80">
        <v>27</v>
      </c>
      <c r="D57" s="28"/>
      <c r="E57" s="29"/>
    </row>
    <row r="58" spans="1:10" x14ac:dyDescent="0.25">
      <c r="A58" s="30" t="s">
        <v>31</v>
      </c>
      <c r="B58" s="31"/>
      <c r="C58" s="81">
        <f>E60/R11</f>
        <v>6.277499999999999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20</v>
      </c>
      <c r="B60" s="31"/>
      <c r="C60" s="81"/>
      <c r="D60" s="31"/>
      <c r="E60" s="70">
        <f>R15*C57</f>
        <v>656226.81862217153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21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22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23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24</v>
      </c>
      <c r="B68" s="31"/>
      <c r="C68" s="31"/>
      <c r="D68" s="31"/>
      <c r="E68" s="70">
        <f>SUM(E60:E66)</f>
        <v>656226.81862217153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25</v>
      </c>
      <c r="B70" s="31"/>
      <c r="C70" s="31"/>
      <c r="D70" s="31"/>
      <c r="E70" s="74">
        <f>E68/C49-1</f>
        <v>1.974195554858126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26</v>
      </c>
      <c r="B72" s="76"/>
      <c r="C72" s="76"/>
      <c r="D72" s="76"/>
      <c r="E72" s="79">
        <f>(E68/C49)^(1/10)-1</f>
        <v>0.11515940639524658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abSelected="1" topLeftCell="A25" zoomScale="90" zoomScaleNormal="90" workbookViewId="0">
      <selection activeCell="R14" sqref="R1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33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4">
        <v>2022</v>
      </c>
      <c r="I10" s="64">
        <v>2023</v>
      </c>
      <c r="J10" s="64">
        <v>2024</v>
      </c>
      <c r="K10" s="64">
        <v>2025</v>
      </c>
      <c r="L10" s="64">
        <v>2026</v>
      </c>
      <c r="M10" s="64">
        <v>2027</v>
      </c>
      <c r="N10" s="64">
        <v>2028</v>
      </c>
      <c r="O10" s="64">
        <v>2029</v>
      </c>
      <c r="P10" s="64">
        <v>2030</v>
      </c>
      <c r="Q10" s="64">
        <v>2031</v>
      </c>
      <c r="R10" s="63" t="s">
        <v>40</v>
      </c>
    </row>
    <row r="11" spans="1:28" x14ac:dyDescent="0.25">
      <c r="A11" s="5"/>
      <c r="B11" s="4" t="s">
        <v>4</v>
      </c>
      <c r="C11" s="85">
        <v>13094</v>
      </c>
      <c r="D11" s="85">
        <v>15451</v>
      </c>
      <c r="E11" s="85">
        <v>17772</v>
      </c>
      <c r="F11" s="85">
        <v>21454</v>
      </c>
      <c r="G11" s="85">
        <v>25371</v>
      </c>
      <c r="H11" s="14">
        <f>G11*(1+H12)</f>
        <v>29684.07</v>
      </c>
      <c r="I11" s="14">
        <f t="shared" ref="I11" si="0">H11*(1+I12)</f>
        <v>34136.680499999995</v>
      </c>
      <c r="J11" s="14">
        <f t="shared" ref="J11" si="1">I11*(1+J12)</f>
        <v>39257.182574999992</v>
      </c>
      <c r="K11" s="14">
        <f t="shared" ref="K11" si="2">J11*(1+K12)</f>
        <v>45145.759961249983</v>
      </c>
      <c r="L11" s="14">
        <f t="shared" ref="L11" si="3">K11*(1+L12)</f>
        <v>49660.335957374984</v>
      </c>
      <c r="M11" s="14">
        <f t="shared" ref="M11" si="4">L11*(1+M12)</f>
        <v>54626.36955311249</v>
      </c>
      <c r="N11" s="14">
        <f t="shared" ref="N11" si="5">M11*(1+N12)</f>
        <v>60089.006508423743</v>
      </c>
      <c r="O11" s="14">
        <f t="shared" ref="O11" si="6">N11*(1+O12)</f>
        <v>64896.127029097646</v>
      </c>
      <c r="P11" s="14">
        <f t="shared" ref="P11" si="7">O11*(1+P12)</f>
        <v>70087.817191425464</v>
      </c>
      <c r="Q11" s="14">
        <f t="shared" ref="L11:R11" si="8">P11*(1+Q12)</f>
        <v>74293.086222910992</v>
      </c>
      <c r="R11" s="14">
        <f t="shared" si="8"/>
        <v>77264.809671827432</v>
      </c>
    </row>
    <row r="12" spans="1:28" x14ac:dyDescent="0.25">
      <c r="A12" s="5"/>
      <c r="B12" s="4" t="s">
        <v>1</v>
      </c>
      <c r="C12" s="12" t="e">
        <v>#DIV/0!</v>
      </c>
      <c r="D12" s="12">
        <v>0.18000610966855057</v>
      </c>
      <c r="E12" s="12">
        <v>0.15021681444566704</v>
      </c>
      <c r="F12" s="12">
        <v>0.20717983344586988</v>
      </c>
      <c r="G12" s="12">
        <v>0.18257667567819524</v>
      </c>
      <c r="H12" s="65">
        <v>0.17</v>
      </c>
      <c r="I12" s="65">
        <v>0.15</v>
      </c>
      <c r="J12" s="65">
        <v>0.15</v>
      </c>
      <c r="K12" s="65">
        <v>0.15</v>
      </c>
      <c r="L12" s="65">
        <v>0.1</v>
      </c>
      <c r="M12" s="65">
        <v>0.1</v>
      </c>
      <c r="N12" s="65">
        <v>0.1</v>
      </c>
      <c r="O12" s="15">
        <v>0.08</v>
      </c>
      <c r="P12" s="15">
        <v>0.08</v>
      </c>
      <c r="Q12" s="15">
        <v>0.06</v>
      </c>
      <c r="R12" s="15">
        <v>0.04</v>
      </c>
    </row>
    <row r="13" spans="1:28" ht="15.95" customHeight="1" x14ac:dyDescent="0.25">
      <c r="A13" s="5"/>
      <c r="B13" s="4" t="s">
        <v>18</v>
      </c>
      <c r="C13" s="12">
        <v>0.16244081258591719</v>
      </c>
      <c r="D13" s="12">
        <v>0.1419972817293379</v>
      </c>
      <c r="E13" s="12">
        <v>0.15299347287868559</v>
      </c>
      <c r="F13" s="12">
        <v>0.15330474503589075</v>
      </c>
      <c r="G13" s="12">
        <v>0.25230000000000002</v>
      </c>
      <c r="H13" s="65">
        <v>0.21</v>
      </c>
      <c r="I13" s="65">
        <v>0.22</v>
      </c>
      <c r="J13" s="65">
        <v>0.23</v>
      </c>
      <c r="K13" s="65">
        <v>0.24</v>
      </c>
      <c r="L13" s="65">
        <v>0.24</v>
      </c>
      <c r="M13" s="65">
        <v>0.25</v>
      </c>
      <c r="N13" s="65">
        <v>0.26</v>
      </c>
      <c r="O13" s="65">
        <v>0.27</v>
      </c>
      <c r="P13" s="65">
        <v>0.28000000000000003</v>
      </c>
      <c r="Q13" s="65">
        <v>0.28000000000000003</v>
      </c>
      <c r="R13" s="65">
        <v>0.28999999999999998</v>
      </c>
    </row>
    <row r="14" spans="1:28" ht="17.100000000000001" customHeight="1" x14ac:dyDescent="0.25">
      <c r="A14" s="5"/>
      <c r="B14" s="4" t="s">
        <v>19</v>
      </c>
      <c r="C14" s="85">
        <v>2126.9999999999995</v>
      </c>
      <c r="D14" s="85">
        <v>2194</v>
      </c>
      <c r="E14" s="85">
        <v>2719.0000000000005</v>
      </c>
      <c r="F14" s="85">
        <v>3289.0000000000005</v>
      </c>
      <c r="G14" s="85">
        <v>4262</v>
      </c>
      <c r="H14" s="14">
        <f>H11*H13</f>
        <v>6233.6547</v>
      </c>
      <c r="I14" s="14">
        <f>I11*I13</f>
        <v>7510.0697099999988</v>
      </c>
      <c r="J14" s="14">
        <f>J11*J13</f>
        <v>9029.1519922499992</v>
      </c>
      <c r="K14" s="14">
        <f t="shared" ref="K14:P14" si="9">K11*K13</f>
        <v>10834.982390699995</v>
      </c>
      <c r="L14" s="14">
        <f t="shared" si="9"/>
        <v>11918.480629769996</v>
      </c>
      <c r="M14" s="14">
        <f t="shared" si="9"/>
        <v>13656.592388278123</v>
      </c>
      <c r="N14" s="14">
        <f>N11*N13</f>
        <v>15623.141692190175</v>
      </c>
      <c r="O14" s="14">
        <f t="shared" ref="O14:P14" si="10">O11*O13</f>
        <v>17521.954297856366</v>
      </c>
      <c r="P14" s="14">
        <f t="shared" si="10"/>
        <v>19624.58881359913</v>
      </c>
      <c r="Q14" s="14">
        <f t="shared" ref="L14:R14" si="11">Q11*Q13</f>
        <v>20802.064142415078</v>
      </c>
      <c r="R14" s="14">
        <f t="shared" si="11"/>
        <v>22406.794804829955</v>
      </c>
    </row>
    <row r="15" spans="1:28" ht="16.5" thickBot="1" x14ac:dyDescent="0.3">
      <c r="A15" s="13">
        <v>0.25</v>
      </c>
      <c r="B15" s="4" t="s">
        <v>32</v>
      </c>
      <c r="C15" s="86">
        <v>1795</v>
      </c>
      <c r="D15" s="85">
        <v>2057</v>
      </c>
      <c r="E15" s="85">
        <v>2459</v>
      </c>
      <c r="F15" s="85">
        <v>4202</v>
      </c>
      <c r="G15" s="85">
        <v>4169</v>
      </c>
      <c r="H15" s="14">
        <f>H11*0.19</f>
        <v>5639.9732999999997</v>
      </c>
      <c r="I15" s="14">
        <f>I11*0.19</f>
        <v>6485.969294999999</v>
      </c>
      <c r="J15" s="14">
        <f>J11*0.21</f>
        <v>8244.0083407499988</v>
      </c>
      <c r="K15" s="14">
        <f t="shared" ref="K15:P15" si="12">K14*(1-$A$15)</f>
        <v>8126.2367930249966</v>
      </c>
      <c r="L15" s="14">
        <f t="shared" si="12"/>
        <v>8938.8604723274966</v>
      </c>
      <c r="M15" s="14">
        <f t="shared" si="12"/>
        <v>10242.444291208592</v>
      </c>
      <c r="N15" s="14">
        <f t="shared" si="12"/>
        <v>11717.35626914263</v>
      </c>
      <c r="O15" s="14">
        <f t="shared" si="12"/>
        <v>13141.465723392274</v>
      </c>
      <c r="P15" s="14">
        <f t="shared" si="12"/>
        <v>14718.441610199348</v>
      </c>
      <c r="Q15" s="14">
        <f t="shared" ref="L15:Q15" si="13">Q14*(1-$A$15)</f>
        <v>15601.548106811308</v>
      </c>
      <c r="R15" s="14">
        <f>R14*(1-$A$15)</f>
        <v>16805.096103622465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/>
      <c r="G16" s="19"/>
      <c r="H16" s="19">
        <f>H15/H14</f>
        <v>0.90476190476190466</v>
      </c>
      <c r="I16" s="19">
        <f>I15/I14</f>
        <v>0.86363636363636365</v>
      </c>
      <c r="J16" s="19">
        <f>J15/J14</f>
        <v>0.91304347826086951</v>
      </c>
      <c r="K16" s="19">
        <f>K15/K14</f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5127.2484545454536</v>
      </c>
      <c r="I19" s="61">
        <f>I15/(1+$C$55)^2</f>
        <v>5360.3052024793369</v>
      </c>
      <c r="J19" s="61">
        <f>J15/(1+$C$55)^3</f>
        <v>6193.8454851615297</v>
      </c>
      <c r="K19" s="61">
        <f>K15/(1+$C$55)^4</f>
        <v>5550.3290711187719</v>
      </c>
      <c r="L19" s="61">
        <f>L15/(1+$C$55)^5</f>
        <v>5550.3290711187719</v>
      </c>
      <c r="M19" s="61">
        <f>M15/(1+$C$55)^6</f>
        <v>5781.5927824153887</v>
      </c>
      <c r="N19" s="61">
        <f>N15/(1+$C$55)^7</f>
        <v>6012.8564937120036</v>
      </c>
      <c r="O19" s="61">
        <f>O15/(1+$C$55)^8</f>
        <v>6130.5907467357356</v>
      </c>
      <c r="P19" s="61">
        <f>P15/(1+$C$55)^9</f>
        <v>6242.0560330400222</v>
      </c>
      <c r="Q19" s="61">
        <f>Q15/(1+$C$55)^10</f>
        <v>6015.0721772931111</v>
      </c>
      <c r="R19" s="62">
        <f>(R15/(C55-R12))/(1+C55)^10</f>
        <v>107984.86718283346</v>
      </c>
    </row>
    <row r="20" spans="1:18" x14ac:dyDescent="0.25">
      <c r="A20" s="2"/>
      <c r="C20" s="1" t="s">
        <v>30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34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28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38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36</v>
      </c>
      <c r="C26" s="42"/>
      <c r="D26" s="44">
        <v>0.01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0.09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37</v>
      </c>
      <c r="C34" s="48"/>
      <c r="D34" s="33">
        <v>0.01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29</v>
      </c>
      <c r="C46" s="35"/>
      <c r="D46" s="51">
        <f>D30+D34</f>
        <v>9.9999999999999992E-2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44594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169189.92</v>
      </c>
      <c r="D49" s="55">
        <f>SUM(H19:R19)</f>
        <v>165949.09270045359</v>
      </c>
      <c r="E49" s="53" t="s">
        <v>35</v>
      </c>
    </row>
    <row r="50" spans="1:10" x14ac:dyDescent="0.25">
      <c r="A50" s="52"/>
      <c r="B50" s="53" t="s">
        <v>13</v>
      </c>
      <c r="C50" s="54">
        <v>1174.93</v>
      </c>
      <c r="D50" s="54">
        <f>C50</f>
        <v>1174.93</v>
      </c>
      <c r="E50" s="53"/>
    </row>
    <row r="51" spans="1:10" x14ac:dyDescent="0.25">
      <c r="A51" s="52"/>
      <c r="B51" s="53" t="s">
        <v>15</v>
      </c>
      <c r="C51" s="66">
        <v>144</v>
      </c>
      <c r="D51" s="66">
        <f>D49/(D50)</f>
        <v>141.24168478160706</v>
      </c>
      <c r="E51" s="53" t="s">
        <v>35</v>
      </c>
    </row>
    <row r="52" spans="1:10" x14ac:dyDescent="0.25">
      <c r="A52" s="52"/>
      <c r="B52" s="53" t="s">
        <v>2</v>
      </c>
      <c r="C52" s="53"/>
      <c r="D52" s="67">
        <f>IF(C51/D51-1&gt;0,0,C51/D51-1)</f>
        <v>0</v>
      </c>
      <c r="E52" s="53"/>
    </row>
    <row r="53" spans="1:10" x14ac:dyDescent="0.25">
      <c r="A53" s="52"/>
      <c r="B53" s="53" t="s">
        <v>17</v>
      </c>
      <c r="C53" s="53"/>
      <c r="D53" s="68">
        <f>IF(C51/D51-1&lt;0,0,C51/D51-1)</f>
        <v>1.9529045002953271E-2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28</v>
      </c>
      <c r="B55" s="53"/>
      <c r="C55" s="58">
        <f>D46</f>
        <v>9.9999999999999992E-2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27</v>
      </c>
      <c r="B57" s="28"/>
      <c r="C57" s="80">
        <v>27</v>
      </c>
      <c r="D57" s="28"/>
      <c r="E57" s="29"/>
    </row>
    <row r="58" spans="1:10" x14ac:dyDescent="0.25">
      <c r="A58" s="30" t="s">
        <v>31</v>
      </c>
      <c r="B58" s="31"/>
      <c r="C58" s="81">
        <f>E60/R11</f>
        <v>5.4519230769230766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20</v>
      </c>
      <c r="B60" s="31"/>
      <c r="C60" s="81"/>
      <c r="D60" s="31"/>
      <c r="E60" s="70">
        <f>Q15*C57</f>
        <v>421241.79888390529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21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22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23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24</v>
      </c>
      <c r="B68" s="31"/>
      <c r="C68" s="31"/>
      <c r="D68" s="31"/>
      <c r="E68" s="70">
        <f>SUM(E60:E66)</f>
        <v>421241.79888390529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25</v>
      </c>
      <c r="B70" s="31"/>
      <c r="C70" s="31"/>
      <c r="D70" s="31"/>
      <c r="E70" s="74">
        <f>E68/C49-1</f>
        <v>1.4897570664015047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26</v>
      </c>
      <c r="B72" s="76"/>
      <c r="C72" s="76"/>
      <c r="D72" s="76"/>
      <c r="E72" s="79">
        <f>(E68/C49)^(1/10)-1</f>
        <v>9.550836324203793E-2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Bewertung 02.02.2022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2022-02-02T14:06:45Z</dcterms:modified>
</cp:coreProperties>
</file>