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OneDrive\Desktop\WirLiebenAktien\Aktienanalysen\Paypal\"/>
    </mc:Choice>
  </mc:AlternateContent>
  <bookViews>
    <workbookView xWindow="-120" yWindow="-120" windowWidth="29040" windowHeight="15720" activeTab="2"/>
  </bookViews>
  <sheets>
    <sheet name="Pessimistisch" sheetId="22" r:id="rId1"/>
    <sheet name="Optimistisch" sheetId="21" r:id="rId2"/>
    <sheet name="Bewertung 02.02.2022" sheetId="23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3" l="1"/>
  <c r="H15" i="23"/>
  <c r="E60" i="23"/>
  <c r="H11" i="23"/>
  <c r="I11" i="23"/>
  <c r="J11" i="23"/>
  <c r="K11" i="23"/>
  <c r="L11" i="23"/>
  <c r="M11" i="23"/>
  <c r="N11" i="23"/>
  <c r="O11" i="23"/>
  <c r="P11" i="23"/>
  <c r="P14" i="23"/>
  <c r="P15" i="23"/>
  <c r="O14" i="23"/>
  <c r="O15" i="23"/>
  <c r="N14" i="23"/>
  <c r="N15" i="23"/>
  <c r="M14" i="23"/>
  <c r="M15" i="23"/>
  <c r="L14" i="23"/>
  <c r="L15" i="23"/>
  <c r="K14" i="23"/>
  <c r="K15" i="23"/>
  <c r="J15" i="23"/>
  <c r="J14" i="23"/>
  <c r="I14" i="23"/>
  <c r="H14" i="23"/>
  <c r="C49" i="23"/>
  <c r="D30" i="23"/>
  <c r="D46" i="23"/>
  <c r="C55" i="23"/>
  <c r="H19" i="23"/>
  <c r="D50" i="23"/>
  <c r="H16" i="23"/>
  <c r="G14" i="21"/>
  <c r="F14" i="21"/>
  <c r="E14" i="21"/>
  <c r="D14" i="21"/>
  <c r="C14" i="21"/>
  <c r="G12" i="21"/>
  <c r="F12" i="21"/>
  <c r="E12" i="21"/>
  <c r="D12" i="21"/>
  <c r="D14" i="22"/>
  <c r="E14" i="22"/>
  <c r="F14" i="22"/>
  <c r="G14" i="22"/>
  <c r="C14" i="22"/>
  <c r="I11" i="22"/>
  <c r="J11" i="22"/>
  <c r="J15" i="22"/>
  <c r="I15" i="22"/>
  <c r="I14" i="22"/>
  <c r="K11" i="22"/>
  <c r="K15" i="22"/>
  <c r="D50" i="22"/>
  <c r="C49" i="22"/>
  <c r="D30" i="22"/>
  <c r="D46" i="22"/>
  <c r="C55" i="22"/>
  <c r="H15" i="22"/>
  <c r="H14" i="22"/>
  <c r="H16" i="22"/>
  <c r="K14" i="22"/>
  <c r="J14" i="22"/>
  <c r="H12" i="22"/>
  <c r="G12" i="22"/>
  <c r="F12" i="22"/>
  <c r="E12" i="22"/>
  <c r="D12" i="22"/>
  <c r="D50" i="21"/>
  <c r="L11" i="21"/>
  <c r="K15" i="21"/>
  <c r="J15" i="21"/>
  <c r="I15" i="21"/>
  <c r="H15" i="21"/>
  <c r="I19" i="22"/>
  <c r="J19" i="22"/>
  <c r="K16" i="22"/>
  <c r="L11" i="22"/>
  <c r="L14" i="22"/>
  <c r="L15" i="22"/>
  <c r="L19" i="22"/>
  <c r="I16" i="22"/>
  <c r="K19" i="22"/>
  <c r="H19" i="22"/>
  <c r="J16" i="22"/>
  <c r="M11" i="21"/>
  <c r="N11" i="21"/>
  <c r="L14" i="21"/>
  <c r="L15" i="21"/>
  <c r="C49" i="21"/>
  <c r="D30" i="21"/>
  <c r="D46" i="21"/>
  <c r="C55" i="21"/>
  <c r="I19" i="21"/>
  <c r="K14" i="21"/>
  <c r="K16" i="21"/>
  <c r="J14" i="21"/>
  <c r="I14" i="21"/>
  <c r="I16" i="21"/>
  <c r="H14" i="21"/>
  <c r="H16" i="21"/>
  <c r="K12" i="21"/>
  <c r="J12" i="21"/>
  <c r="I12" i="21"/>
  <c r="H12" i="21"/>
  <c r="M11" i="22"/>
  <c r="N11" i="22"/>
  <c r="L19" i="21"/>
  <c r="O11" i="21"/>
  <c r="N14" i="21"/>
  <c r="N15" i="21"/>
  <c r="N19" i="21"/>
  <c r="M14" i="21"/>
  <c r="M15" i="21"/>
  <c r="K19" i="21"/>
  <c r="J19" i="21"/>
  <c r="J16" i="21"/>
  <c r="H19" i="21"/>
  <c r="M14" i="22"/>
  <c r="M15" i="22"/>
  <c r="M19" i="22"/>
  <c r="O11" i="22"/>
  <c r="N14" i="22"/>
  <c r="N15" i="22"/>
  <c r="N19" i="22"/>
  <c r="P11" i="21"/>
  <c r="O14" i="21"/>
  <c r="O15" i="21"/>
  <c r="O19" i="21"/>
  <c r="M19" i="21"/>
  <c r="P11" i="22"/>
  <c r="O14" i="22"/>
  <c r="O15" i="22"/>
  <c r="P14" i="21"/>
  <c r="P15" i="21"/>
  <c r="Q11" i="21"/>
  <c r="O19" i="22"/>
  <c r="P14" i="22"/>
  <c r="P15" i="22"/>
  <c r="Q11" i="22"/>
  <c r="Q14" i="21"/>
  <c r="Q15" i="21"/>
  <c r="R11" i="21"/>
  <c r="R14" i="21"/>
  <c r="R15" i="21"/>
  <c r="P19" i="21"/>
  <c r="R11" i="22"/>
  <c r="R14" i="22"/>
  <c r="R15" i="22"/>
  <c r="Q14" i="22"/>
  <c r="Q15" i="22"/>
  <c r="D44" i="22"/>
  <c r="P19" i="22"/>
  <c r="R19" i="21"/>
  <c r="E60" i="21"/>
  <c r="C58" i="21"/>
  <c r="D40" i="21"/>
  <c r="Q19" i="21"/>
  <c r="D42" i="21"/>
  <c r="D44" i="21"/>
  <c r="E64" i="21"/>
  <c r="E66" i="21"/>
  <c r="D43" i="21"/>
  <c r="D41" i="21"/>
  <c r="E60" i="22"/>
  <c r="R19" i="22"/>
  <c r="Q19" i="22"/>
  <c r="D42" i="22"/>
  <c r="D43" i="22"/>
  <c r="E64" i="22"/>
  <c r="E66" i="22"/>
  <c r="D40" i="22"/>
  <c r="D41" i="22"/>
  <c r="E68" i="21"/>
  <c r="E70" i="21"/>
  <c r="D49" i="21"/>
  <c r="D51" i="21"/>
  <c r="D53" i="21"/>
  <c r="D49" i="22"/>
  <c r="D51" i="22"/>
  <c r="E68" i="22"/>
  <c r="C58" i="22"/>
  <c r="E72" i="21"/>
  <c r="D52" i="21"/>
  <c r="E70" i="22"/>
  <c r="E72" i="22"/>
  <c r="D53" i="22"/>
  <c r="D52" i="22"/>
  <c r="I19" i="23"/>
  <c r="I16" i="23"/>
  <c r="J16" i="23"/>
  <c r="J19" i="23"/>
  <c r="Q11" i="23"/>
  <c r="Q14" i="23"/>
  <c r="Q15" i="23"/>
  <c r="R11" i="23"/>
  <c r="R14" i="23"/>
  <c r="R15" i="23"/>
  <c r="E64" i="23"/>
  <c r="E66" i="23"/>
  <c r="E68" i="23"/>
  <c r="E72" i="23"/>
  <c r="E70" i="23"/>
  <c r="C58" i="23"/>
  <c r="L19" i="23"/>
  <c r="M19" i="23"/>
  <c r="N19" i="23"/>
  <c r="O19" i="23"/>
  <c r="P19" i="23"/>
  <c r="Q19" i="23"/>
  <c r="R19" i="23"/>
  <c r="K19" i="23"/>
  <c r="D49" i="23"/>
  <c r="D51" i="23"/>
  <c r="D53" i="23"/>
  <c r="D52" i="23"/>
  <c r="D44" i="23"/>
  <c r="D43" i="23"/>
  <c r="D42" i="23"/>
  <c r="D41" i="23"/>
  <c r="D40" i="23"/>
  <c r="K16" i="23"/>
</calcChain>
</file>

<file path=xl/sharedStrings.xml><?xml version="1.0" encoding="utf-8"?>
<sst xmlns="http://schemas.openxmlformats.org/spreadsheetml/2006/main" count="126" uniqueCount="41">
  <si>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</si>
  <si>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</si>
  <si>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</si>
  <si>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</si>
  <si>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</si>
  <si>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</si>
  <si>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</si>
  <si>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</si>
  <si>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</si>
  <si>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</si>
  <si>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</si>
  <si>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</si>
  <si>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</si>
  <si>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</si>
  <si>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</si>
  <si>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</si>
  <si>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2031ff.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</si>
  <si>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</si>
  <si>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</si>
  <si>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</si>
  <si>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</si>
  <si>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</si>
  <si>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</si>
  <si>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</si>
  <si>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</si>
  <si>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</si>
  <si>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</si>
  <si>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</si>
  <si>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</si>
  <si>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</si>
  <si>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>25 % Abschlag vom EBIT für Zins und Steuern</t>
  </si>
  <si>
    <t xml:space="preserve">Umsatzmultiple </t>
  </si>
  <si>
    <t>Gewinn (25% Zinsen/Steuern/sonstiges)</t>
  </si>
  <si>
    <t xml:space="preserve">Optimistische Annahmen für </t>
  </si>
  <si>
    <t>(ab 2025)</t>
  </si>
  <si>
    <t>USD</t>
  </si>
  <si>
    <t>Sicherheitszuschlag, starke Konkurrenz</t>
  </si>
  <si>
    <t>EK Quote relativ niedrig, aber viel Cash vorhanden.</t>
  </si>
  <si>
    <t>Fintech</t>
  </si>
  <si>
    <t>Alle Angaben in Mio. PayPal</t>
  </si>
  <si>
    <t>2032ff.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</si>
</sst>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3" fontId="0" fillId="5" borderId="0" xfId="0" applyNumberFormat="1" applyFont="1" applyFill="1"/>
    <xf numFmtId="3" fontId="0" fillId="5" borderId="0" xfId="0" applyNumberFormat="1" applyFill="1"/>
  </cellXfs>
  <cellStyles count="3">
    <cellStyle name="Prozent" xfId="1" builtinId="5"/>
    <cellStyle name="Prozent 2" xfId="2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DD32A510-1FAD-4EC7-86D0-F5629930BE99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FD2B8248-B03E-426B-BE61-981E3FA79289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zoomScale="90" zoomScaleNormal="90" workbookViewId="0">
      <selection activeCell="C11" sqref="C11:G15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33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39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4">
        <v>2021</v>
      </c>
      <c r="I10" s="64">
        <v>2022</v>
      </c>
      <c r="J10" s="64">
        <v>2023</v>
      </c>
      <c r="K10" s="64">
        <v>2024</v>
      </c>
      <c r="L10" s="64">
        <v>2025</v>
      </c>
      <c r="M10" s="64">
        <v>2026</v>
      </c>
      <c r="N10" s="64">
        <v>2027</v>
      </c>
      <c r="O10" s="64">
        <v>2028</v>
      </c>
      <c r="P10" s="64">
        <v>2029</v>
      </c>
      <c r="Q10" s="64">
        <v>2030</v>
      </c>
      <c r="R10" s="63" t="s">
        <v>16</v>
      </c>
    </row>
    <row r="11" spans="1:28" x14ac:dyDescent="0.25">
      <c r="A11" s="5"/>
      <c r="B11" s="4" t="s">
        <v>4</v>
      </c>
      <c r="C11" s="85">
        <v>10842</v>
      </c>
      <c r="D11" s="85">
        <v>13094</v>
      </c>
      <c r="E11" s="85">
        <v>15451</v>
      </c>
      <c r="F11" s="85">
        <v>17772</v>
      </c>
      <c r="G11" s="85">
        <v>21454</v>
      </c>
      <c r="H11" s="14">
        <v>25332.14</v>
      </c>
      <c r="I11" s="14">
        <f t="shared" ref="I11" si="0">H11*(1+I12)</f>
        <v>29131.960999999996</v>
      </c>
      <c r="J11" s="14">
        <f t="shared" ref="J11" si="1">I11*(1+J12)</f>
        <v>33501.75514999999</v>
      </c>
      <c r="K11" s="14">
        <f t="shared" ref="K11" si="2">J11*(1+K12)</f>
        <v>38527.018422499983</v>
      </c>
      <c r="L11" s="14">
        <f t="shared" ref="L11:R11" si="3">K11*(1+L12)</f>
        <v>44306.071185874978</v>
      </c>
      <c r="M11" s="14">
        <f t="shared" si="3"/>
        <v>48736.678304462483</v>
      </c>
      <c r="N11" s="14">
        <f t="shared" si="3"/>
        <v>44837.744040105485</v>
      </c>
      <c r="O11" s="14">
        <f t="shared" si="3"/>
        <v>51563.405646121304</v>
      </c>
      <c r="P11" s="14">
        <f t="shared" si="3"/>
        <v>55688.478097811014</v>
      </c>
      <c r="Q11" s="14">
        <f t="shared" si="3"/>
        <v>60143.556345635901</v>
      </c>
      <c r="R11" s="14">
        <f t="shared" si="3"/>
        <v>61797.504145140891</v>
      </c>
    </row>
    <row r="12" spans="1:28" x14ac:dyDescent="0.25">
      <c r="A12" s="5"/>
      <c r="B12" s="4" t="s">
        <v>1</v>
      </c>
      <c r="C12" s="12"/>
      <c r="D12" s="12">
        <f t="shared" ref="D12:H12" si="4">D11/C11-1</f>
        <v>0.20771075447334431</v>
      </c>
      <c r="E12" s="12">
        <f t="shared" si="4"/>
        <v>0.18000610966855057</v>
      </c>
      <c r="F12" s="12">
        <f t="shared" si="4"/>
        <v>0.15021681444566704</v>
      </c>
      <c r="G12" s="12">
        <f t="shared" si="4"/>
        <v>0.20717983344586988</v>
      </c>
      <c r="H12" s="65">
        <f t="shared" si="4"/>
        <v>0.18076535844131625</v>
      </c>
      <c r="I12" s="65">
        <v>0.15</v>
      </c>
      <c r="J12" s="65">
        <v>0.15</v>
      </c>
      <c r="K12" s="65">
        <v>0.15</v>
      </c>
      <c r="L12" s="65">
        <v>0.15</v>
      </c>
      <c r="M12" s="65">
        <v>0.1</v>
      </c>
      <c r="N12" s="65">
        <v>-0.08</v>
      </c>
      <c r="O12" s="15">
        <v>0.15</v>
      </c>
      <c r="P12" s="15">
        <v>0.08</v>
      </c>
      <c r="Q12" s="15">
        <v>0.08</v>
      </c>
      <c r="R12" s="15">
        <v>2.75E-2</v>
      </c>
    </row>
    <row r="13" spans="1:28" ht="15.95" customHeight="1" x14ac:dyDescent="0.25">
      <c r="A13" s="5"/>
      <c r="B13" s="4" t="s">
        <v>18</v>
      </c>
      <c r="C13" s="12">
        <v>0.14628297362110312</v>
      </c>
      <c r="D13" s="12">
        <v>0.16244081258591719</v>
      </c>
      <c r="E13" s="12">
        <v>0.1419972817293379</v>
      </c>
      <c r="F13" s="12">
        <v>0.15299347287868559</v>
      </c>
      <c r="G13" s="12">
        <v>0.15330474503589075</v>
      </c>
      <c r="H13" s="65">
        <v>0.25230000000000002</v>
      </c>
      <c r="I13" s="65">
        <v>0.24</v>
      </c>
      <c r="J13" s="65">
        <v>0.24</v>
      </c>
      <c r="K13" s="65">
        <v>0.25</v>
      </c>
      <c r="L13" s="65">
        <v>0.25</v>
      </c>
      <c r="M13" s="65">
        <v>0.27</v>
      </c>
      <c r="N13" s="65">
        <v>0.22</v>
      </c>
      <c r="O13" s="65">
        <v>0.27</v>
      </c>
      <c r="P13" s="65">
        <v>0.27</v>
      </c>
      <c r="Q13" s="65">
        <v>0.27</v>
      </c>
      <c r="R13" s="65">
        <v>0.27</v>
      </c>
    </row>
    <row r="14" spans="1:28" ht="17.100000000000001" customHeight="1" x14ac:dyDescent="0.25">
      <c r="A14" s="5"/>
      <c r="B14" s="4" t="s">
        <v>19</v>
      </c>
      <c r="C14" s="85">
        <f>C11*C13</f>
        <v>1586</v>
      </c>
      <c r="D14" s="85">
        <f t="shared" ref="D14:G14" si="5">D11*D13</f>
        <v>2126.9999999999995</v>
      </c>
      <c r="E14" s="85">
        <f t="shared" si="5"/>
        <v>2194</v>
      </c>
      <c r="F14" s="85">
        <f t="shared" si="5"/>
        <v>2719.0000000000005</v>
      </c>
      <c r="G14" s="85">
        <f t="shared" si="5"/>
        <v>3289.0000000000005</v>
      </c>
      <c r="H14" s="14">
        <f>H11*H13</f>
        <v>6391.2989220000009</v>
      </c>
      <c r="I14" s="14">
        <f>I11*I13</f>
        <v>6991.6706399999985</v>
      </c>
      <c r="J14" s="14">
        <f>J11*J13</f>
        <v>8040.4212359999974</v>
      </c>
      <c r="K14" s="14">
        <f>K11*K13</f>
        <v>9631.7546056249957</v>
      </c>
      <c r="L14" s="14">
        <f t="shared" ref="L14:R14" si="6">L11*L13</f>
        <v>11076.517796468745</v>
      </c>
      <c r="M14" s="14">
        <f t="shared" si="6"/>
        <v>13158.903142204872</v>
      </c>
      <c r="N14" s="14">
        <f t="shared" si="6"/>
        <v>9864.3036888232073</v>
      </c>
      <c r="O14" s="14">
        <f>O11*O13</f>
        <v>13922.119524452753</v>
      </c>
      <c r="P14" s="14">
        <f t="shared" si="6"/>
        <v>15035.889086408975</v>
      </c>
      <c r="Q14" s="14">
        <f t="shared" si="6"/>
        <v>16238.760213321695</v>
      </c>
      <c r="R14" s="14">
        <f t="shared" si="6"/>
        <v>16685.326119188041</v>
      </c>
    </row>
    <row r="15" spans="1:28" ht="16.5" thickBot="1" x14ac:dyDescent="0.3">
      <c r="A15" s="13">
        <v>0.25</v>
      </c>
      <c r="B15" s="4" t="s">
        <v>32</v>
      </c>
      <c r="C15" s="86">
        <v>1401</v>
      </c>
      <c r="D15" s="85">
        <v>1795</v>
      </c>
      <c r="E15" s="85">
        <v>2057</v>
      </c>
      <c r="F15" s="85">
        <v>2459</v>
      </c>
      <c r="G15" s="85">
        <v>4202</v>
      </c>
      <c r="H15" s="14">
        <f>H11*0.2161</f>
        <v>5474.2754539999996</v>
      </c>
      <c r="I15" s="14">
        <f>I11*0.2</f>
        <v>5826.3921999999993</v>
      </c>
      <c r="J15" s="14">
        <f>J11*0.2</f>
        <v>6700.351029999998</v>
      </c>
      <c r="K15" s="14">
        <f>K11*0.2255</f>
        <v>8687.842654273747</v>
      </c>
      <c r="L15" s="14">
        <f t="shared" ref="L15:Q15" si="7">L14*(1-$A$15)</f>
        <v>8307.388347351558</v>
      </c>
      <c r="M15" s="14">
        <f t="shared" si="7"/>
        <v>9869.177356653654</v>
      </c>
      <c r="N15" s="14">
        <f t="shared" si="7"/>
        <v>7398.227766617405</v>
      </c>
      <c r="O15" s="14">
        <f t="shared" si="7"/>
        <v>10441.589643339565</v>
      </c>
      <c r="P15" s="14">
        <f t="shared" si="7"/>
        <v>11276.916814806731</v>
      </c>
      <c r="Q15" s="14">
        <f t="shared" si="7"/>
        <v>12179.070159991272</v>
      </c>
      <c r="R15" s="14">
        <f>R14*(1-$A$15)</f>
        <v>12513.99458939103</v>
      </c>
    </row>
    <row r="16" spans="1:28" ht="32.25" thickBot="1" x14ac:dyDescent="0.3">
      <c r="A16" s="16" t="s">
        <v>6</v>
      </c>
      <c r="B16" s="17"/>
      <c r="C16" s="18"/>
      <c r="D16" s="18"/>
      <c r="E16" s="19"/>
      <c r="F16" s="19"/>
      <c r="G16" s="19"/>
      <c r="H16" s="19">
        <f>H15/H14</f>
        <v>0.85652001585414173</v>
      </c>
      <c r="I16" s="19">
        <f>I15/I14</f>
        <v>0.83333333333333337</v>
      </c>
      <c r="J16" s="19">
        <f>J15/J14</f>
        <v>0.83333333333333337</v>
      </c>
      <c r="K16" s="19">
        <f>K15/K14</f>
        <v>0.90200000000000014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9" t="s">
        <v>14</v>
      </c>
      <c r="G19" s="60"/>
      <c r="H19" s="61">
        <f>H15/(1+$C$55)</f>
        <v>4976.6140490909083</v>
      </c>
      <c r="I19" s="61">
        <f>I15/(1+$C$55)^2</f>
        <v>4815.200165289255</v>
      </c>
      <c r="J19" s="61">
        <f>J15/(1+$C$55)^3</f>
        <v>5034.072900075128</v>
      </c>
      <c r="K19" s="61">
        <f>K15/(1+$C$55)^4</f>
        <v>5933.9134309635574</v>
      </c>
      <c r="L19" s="61">
        <f>L15/(1+$C$55)^5</f>
        <v>5158.2345638037359</v>
      </c>
      <c r="M19" s="61">
        <f>M15/(1+$C$55)^6</f>
        <v>5570.893328908036</v>
      </c>
      <c r="N19" s="61">
        <f>N15/(1+$C$55)^7</f>
        <v>3796.4606389595497</v>
      </c>
      <c r="O19" s="61">
        <f>O15/(1+$C$55)^8</f>
        <v>4871.0786297394225</v>
      </c>
      <c r="P19" s="61">
        <f>P15/(1+$C$55)^9</f>
        <v>4782.5135637441599</v>
      </c>
      <c r="Q19" s="61">
        <f>Q15/(1+$C$55)^10</f>
        <v>4695.5587716760847</v>
      </c>
      <c r="R19" s="62">
        <f>(R15/(C55-R12))/(1+C55)^10</f>
        <v>66547.401902030033</v>
      </c>
    </row>
    <row r="20" spans="1:18" x14ac:dyDescent="0.25">
      <c r="A20" s="2"/>
      <c r="C20" s="1" t="s">
        <v>30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34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8" t="s">
        <v>28</v>
      </c>
      <c r="B23" s="39"/>
      <c r="C23" s="39"/>
      <c r="D23" s="40"/>
      <c r="E23" s="28"/>
      <c r="F23" s="39"/>
      <c r="G23" s="28"/>
      <c r="H23" s="28"/>
      <c r="I23" s="28"/>
      <c r="J23" s="29"/>
    </row>
    <row r="24" spans="1:18" x14ac:dyDescent="0.25">
      <c r="A24" s="41"/>
      <c r="B24" s="42"/>
      <c r="C24" s="42"/>
      <c r="D24" s="43"/>
      <c r="E24" s="42"/>
      <c r="F24" s="42"/>
      <c r="G24" s="31"/>
      <c r="H24" s="31"/>
      <c r="I24" s="31"/>
      <c r="J24" s="32"/>
    </row>
    <row r="25" spans="1:18" x14ac:dyDescent="0.25">
      <c r="A25" s="41" t="s">
        <v>7</v>
      </c>
      <c r="B25" s="42" t="s">
        <v>38</v>
      </c>
      <c r="C25" s="42"/>
      <c r="D25" s="44">
        <v>0.08</v>
      </c>
      <c r="E25" s="31"/>
      <c r="F25" s="42"/>
      <c r="G25" s="31"/>
      <c r="H25" s="31"/>
      <c r="I25" s="31"/>
      <c r="J25" s="32"/>
    </row>
    <row r="26" spans="1:18" x14ac:dyDescent="0.25">
      <c r="A26" s="41"/>
      <c r="B26" s="42" t="s">
        <v>36</v>
      </c>
      <c r="C26" s="42"/>
      <c r="D26" s="44">
        <v>0.01</v>
      </c>
      <c r="E26" s="31"/>
      <c r="F26" s="42"/>
      <c r="G26" s="31"/>
      <c r="H26" s="31"/>
      <c r="I26" s="31"/>
      <c r="J26" s="32"/>
    </row>
    <row r="27" spans="1:18" x14ac:dyDescent="0.25">
      <c r="A27" s="41"/>
      <c r="B27" s="42"/>
      <c r="C27" s="42"/>
      <c r="D27" s="44"/>
      <c r="E27" s="31"/>
      <c r="F27" s="42"/>
      <c r="G27" s="31"/>
      <c r="H27" s="31"/>
      <c r="I27" s="31"/>
      <c r="J27" s="32"/>
    </row>
    <row r="28" spans="1:18" x14ac:dyDescent="0.25">
      <c r="A28" s="41"/>
      <c r="B28" s="42"/>
      <c r="C28" s="42"/>
      <c r="D28" s="45"/>
      <c r="E28" s="31"/>
      <c r="F28" s="42"/>
      <c r="G28" s="31"/>
      <c r="H28" s="31"/>
      <c r="I28" s="31"/>
      <c r="J28" s="32"/>
    </row>
    <row r="29" spans="1:18" x14ac:dyDescent="0.25">
      <c r="A29" s="41"/>
      <c r="B29" s="42"/>
      <c r="C29" s="42"/>
      <c r="D29" s="45"/>
      <c r="E29" s="31"/>
      <c r="F29" s="42"/>
      <c r="G29" s="31"/>
      <c r="H29" s="31"/>
      <c r="I29" s="31"/>
      <c r="J29" s="32"/>
    </row>
    <row r="30" spans="1:18" x14ac:dyDescent="0.25">
      <c r="A30" s="41"/>
      <c r="B30" s="42" t="s">
        <v>8</v>
      </c>
      <c r="C30" s="42"/>
      <c r="D30" s="46">
        <f>D25+D26+D27</f>
        <v>0.09</v>
      </c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3"/>
      <c r="E31" s="31"/>
      <c r="F31" s="42"/>
      <c r="G31" s="31"/>
      <c r="H31" s="31"/>
      <c r="I31" s="31"/>
      <c r="J31" s="32"/>
    </row>
    <row r="32" spans="1:18" x14ac:dyDescent="0.25">
      <c r="A32" s="30"/>
      <c r="B32" s="31"/>
      <c r="C32" s="47"/>
      <c r="D32" s="31"/>
      <c r="E32" s="42"/>
      <c r="F32" s="42"/>
      <c r="G32" s="31"/>
      <c r="H32" s="31"/>
      <c r="I32" s="31"/>
      <c r="J32" s="32"/>
    </row>
    <row r="33" spans="1:1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5">
      <c r="A34" s="41" t="s">
        <v>9</v>
      </c>
      <c r="B34" s="42" t="s">
        <v>37</v>
      </c>
      <c r="C34" s="48"/>
      <c r="D34" s="33">
        <v>0.01</v>
      </c>
      <c r="E34" s="31"/>
      <c r="F34" s="31"/>
      <c r="G34" s="31"/>
      <c r="H34" s="31"/>
      <c r="I34" s="31"/>
      <c r="J34" s="32"/>
    </row>
    <row r="35" spans="1:10" ht="15.75" hidden="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hidden="1" customHeight="1" x14ac:dyDescent="0.25">
      <c r="A36" s="30"/>
      <c r="B36" s="31" t="s">
        <v>10</v>
      </c>
      <c r="C36" s="31"/>
      <c r="D36" s="49">
        <v>0.08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idden="1" x14ac:dyDescent="0.25">
      <c r="A40" s="30"/>
      <c r="B40" s="50"/>
      <c r="C40" s="50">
        <v>0.12</v>
      </c>
      <c r="D40" s="50" t="e">
        <f>((NPV(C40,$H$15:$R$15)+(#REF!*(1+#REF!)/(C40-#REF!))/(1+C40)^(2040-2020))/$D$50)/$C$51-1</f>
        <v>#REF!</v>
      </c>
      <c r="E40" s="31"/>
      <c r="F40" s="31"/>
      <c r="G40" s="31"/>
      <c r="H40" s="31"/>
      <c r="I40" s="31"/>
      <c r="J40" s="32"/>
    </row>
    <row r="41" spans="1:10" hidden="1" x14ac:dyDescent="0.25">
      <c r="A41" s="30"/>
      <c r="B41" s="50"/>
      <c r="C41" s="50">
        <v>0.14000000000000001</v>
      </c>
      <c r="D41" s="50" t="e">
        <f>((NPV(C41,$H$15:$R$15)+(#REF!*(1+#REF!)/(C41-#REF!))/(1+C41)^(2040-2020))/$D$50)/$C$51-1</f>
        <v>#REF!</v>
      </c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0.16</v>
      </c>
      <c r="D42" s="50" t="e">
        <f>((NPV(C42,$H$15:$R$15)+(#REF!*(1+#REF!)/(C42-#REF!))/(1+C42)^(2040-2020))/$D$50)/$C$51-1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0.18</v>
      </c>
      <c r="D43" s="50" t="e">
        <f>((NPV(C43,$H$15:$R$15)+(#REF!*(1+#REF!)/(C43-#REF!))/(1+C43)^(2040-2020))/$D$50)/$C$51-1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0.2</v>
      </c>
      <c r="D44" s="50" t="e">
        <f>((NPV(C44,$H$15:$R$15)+(#REF!*(1+#REF!)/(C44-#REF!))/(1+C44)^(2040-2020))/$D$50)/$C$51-1</f>
        <v>#REF!</v>
      </c>
      <c r="E44" s="31"/>
      <c r="F44" s="31"/>
      <c r="G44" s="31"/>
      <c r="H44" s="31"/>
      <c r="I44" s="31"/>
      <c r="J44" s="32"/>
    </row>
    <row r="45" spans="1:10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6.5" thickBot="1" x14ac:dyDescent="0.3">
      <c r="A46" s="34"/>
      <c r="B46" s="35" t="s">
        <v>29</v>
      </c>
      <c r="C46" s="35"/>
      <c r="D46" s="51">
        <f>D30+D34</f>
        <v>9.9999999999999992E-2</v>
      </c>
      <c r="E46" s="35"/>
      <c r="F46" s="35"/>
      <c r="G46" s="35"/>
      <c r="H46" s="35"/>
      <c r="I46" s="35"/>
      <c r="J46" s="36"/>
    </row>
    <row r="48" spans="1:10" x14ac:dyDescent="0.25">
      <c r="A48" s="20"/>
      <c r="B48" s="21"/>
      <c r="C48" s="22">
        <v>44526</v>
      </c>
      <c r="D48" s="23" t="s">
        <v>3</v>
      </c>
      <c r="E48" s="24"/>
      <c r="F48" s="25"/>
      <c r="G48" s="26"/>
      <c r="H48" s="26"/>
      <c r="I48" s="26"/>
    </row>
    <row r="49" spans="1:10" x14ac:dyDescent="0.25">
      <c r="A49" s="52" t="s">
        <v>0</v>
      </c>
      <c r="B49" s="53" t="s">
        <v>5</v>
      </c>
      <c r="C49" s="84">
        <f>C50*C51</f>
        <v>220640.1047</v>
      </c>
      <c r="D49" s="55">
        <f>SUM(H19:R19)</f>
        <v>116181.94194427988</v>
      </c>
      <c r="E49" s="53" t="s">
        <v>35</v>
      </c>
    </row>
    <row r="50" spans="1:10" x14ac:dyDescent="0.25">
      <c r="A50" s="52"/>
      <c r="B50" s="53" t="s">
        <v>13</v>
      </c>
      <c r="C50" s="54">
        <v>1174.93</v>
      </c>
      <c r="D50" s="54">
        <f>C50</f>
        <v>1174.93</v>
      </c>
      <c r="E50" s="53"/>
    </row>
    <row r="51" spans="1:10" x14ac:dyDescent="0.25">
      <c r="A51" s="52"/>
      <c r="B51" s="53" t="s">
        <v>15</v>
      </c>
      <c r="C51" s="66">
        <v>187.79</v>
      </c>
      <c r="D51" s="66">
        <f>D49/(D50)</f>
        <v>98.884139433225698</v>
      </c>
      <c r="E51" s="53" t="s">
        <v>35</v>
      </c>
    </row>
    <row r="52" spans="1:10" x14ac:dyDescent="0.25">
      <c r="A52" s="52"/>
      <c r="B52" s="53" t="s">
        <v>2</v>
      </c>
      <c r="C52" s="53"/>
      <c r="D52" s="67">
        <f>IF(C51/D51-1&gt;0,0,C51/D51-1)</f>
        <v>0</v>
      </c>
      <c r="E52" s="53"/>
    </row>
    <row r="53" spans="1:10" x14ac:dyDescent="0.25">
      <c r="A53" s="52"/>
      <c r="B53" s="53" t="s">
        <v>17</v>
      </c>
      <c r="C53" s="53"/>
      <c r="D53" s="68">
        <f>IF(C51/D51-1&lt;0,0,C51/D51-1)</f>
        <v>0.89909120993878378</v>
      </c>
      <c r="E53" s="53"/>
    </row>
    <row r="54" spans="1:10" x14ac:dyDescent="0.25">
      <c r="A54" s="53"/>
      <c r="B54" s="53"/>
      <c r="C54" s="53"/>
      <c r="D54" s="56"/>
      <c r="E54" s="56"/>
    </row>
    <row r="55" spans="1:10" x14ac:dyDescent="0.25">
      <c r="A55" s="56" t="s">
        <v>28</v>
      </c>
      <c r="B55" s="53"/>
      <c r="C55" s="58">
        <f>D46</f>
        <v>9.9999999999999992E-2</v>
      </c>
      <c r="D55" s="57"/>
      <c r="E55" s="53"/>
      <c r="J55" s="83"/>
    </row>
    <row r="56" spans="1:10" ht="16.5" thickBot="1" x14ac:dyDescent="0.3">
      <c r="A56" s="27"/>
      <c r="C56" s="77"/>
      <c r="D56" s="78"/>
    </row>
    <row r="57" spans="1:10" x14ac:dyDescent="0.25">
      <c r="A57" s="69" t="s">
        <v>27</v>
      </c>
      <c r="B57" s="28"/>
      <c r="C57" s="80">
        <v>27</v>
      </c>
      <c r="D57" s="28"/>
      <c r="E57" s="29"/>
    </row>
    <row r="58" spans="1:10" x14ac:dyDescent="0.25">
      <c r="A58" s="30" t="s">
        <v>31</v>
      </c>
      <c r="B58" s="31"/>
      <c r="C58" s="81">
        <f>E60/R11</f>
        <v>5.4675000000000002</v>
      </c>
      <c r="D58" s="31"/>
      <c r="E58" s="32"/>
    </row>
    <row r="59" spans="1:10" x14ac:dyDescent="0.25">
      <c r="A59" s="30"/>
      <c r="B59" s="31"/>
      <c r="C59" s="81"/>
      <c r="D59" s="31"/>
      <c r="E59" s="32"/>
    </row>
    <row r="60" spans="1:10" x14ac:dyDescent="0.25">
      <c r="A60" s="30" t="s">
        <v>20</v>
      </c>
      <c r="B60" s="31"/>
      <c r="C60" s="81"/>
      <c r="D60" s="31"/>
      <c r="E60" s="70">
        <f>R15*C57</f>
        <v>337877.85391355783</v>
      </c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21</v>
      </c>
      <c r="B62" s="31"/>
      <c r="C62" s="82">
        <v>0</v>
      </c>
      <c r="D62" s="31"/>
      <c r="E62" s="32"/>
    </row>
    <row r="63" spans="1:10" x14ac:dyDescent="0.25">
      <c r="A63" s="30"/>
      <c r="B63" s="31"/>
      <c r="C63" s="31"/>
      <c r="D63" s="31"/>
      <c r="E63" s="32"/>
    </row>
    <row r="64" spans="1:10" x14ac:dyDescent="0.25">
      <c r="A64" s="30" t="s">
        <v>22</v>
      </c>
      <c r="B64" s="31"/>
      <c r="C64" s="31"/>
      <c r="D64" s="31"/>
      <c r="E64" s="70">
        <f>SUM(H15:R15)*C62</f>
        <v>0</v>
      </c>
    </row>
    <row r="65" spans="1:5" x14ac:dyDescent="0.25">
      <c r="A65" s="30"/>
      <c r="B65" s="31"/>
      <c r="C65" s="31"/>
      <c r="D65" s="31"/>
      <c r="E65" s="71"/>
    </row>
    <row r="66" spans="1:5" x14ac:dyDescent="0.25">
      <c r="A66" s="72" t="s">
        <v>23</v>
      </c>
      <c r="B66" s="31"/>
      <c r="C66" s="31"/>
      <c r="D66" s="31"/>
      <c r="E66" s="73">
        <f>(E64*0.25)*-1</f>
        <v>0</v>
      </c>
    </row>
    <row r="67" spans="1:5" x14ac:dyDescent="0.25">
      <c r="A67" s="30"/>
      <c r="B67" s="31"/>
      <c r="C67" s="50"/>
      <c r="D67" s="50"/>
      <c r="E67" s="74"/>
    </row>
    <row r="68" spans="1:5" x14ac:dyDescent="0.25">
      <c r="A68" s="30" t="s">
        <v>24</v>
      </c>
      <c r="B68" s="31"/>
      <c r="C68" s="31"/>
      <c r="D68" s="31"/>
      <c r="E68" s="70">
        <f>SUM(E60:E66)</f>
        <v>337877.85391355783</v>
      </c>
    </row>
    <row r="69" spans="1:5" x14ac:dyDescent="0.25">
      <c r="A69" s="30"/>
      <c r="B69" s="31"/>
      <c r="C69" s="31"/>
      <c r="D69" s="31"/>
      <c r="E69" s="70"/>
    </row>
    <row r="70" spans="1:5" x14ac:dyDescent="0.25">
      <c r="A70" s="30" t="s">
        <v>25</v>
      </c>
      <c r="B70" s="31"/>
      <c r="C70" s="31"/>
      <c r="D70" s="31"/>
      <c r="E70" s="74">
        <f>E68/C49-1</f>
        <v>0.53135285343053873</v>
      </c>
    </row>
    <row r="71" spans="1:5" x14ac:dyDescent="0.25">
      <c r="A71" s="30"/>
      <c r="B71" s="31"/>
      <c r="C71" s="31"/>
      <c r="D71" s="31"/>
      <c r="E71" s="32"/>
    </row>
    <row r="72" spans="1:5" ht="16.5" thickBot="1" x14ac:dyDescent="0.3">
      <c r="A72" s="75" t="s">
        <v>26</v>
      </c>
      <c r="B72" s="76"/>
      <c r="C72" s="76"/>
      <c r="D72" s="76"/>
      <c r="E72" s="79">
        <f>(E68/C49)^(1/10)-1</f>
        <v>4.3536219187397363E-2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L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opLeftCell="A10" zoomScale="90" zoomScaleNormal="90" workbookViewId="0">
      <selection activeCell="R11" sqref="R1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33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39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4">
        <v>2021</v>
      </c>
      <c r="I10" s="64">
        <v>2022</v>
      </c>
      <c r="J10" s="64">
        <v>2023</v>
      </c>
      <c r="K10" s="64">
        <v>2024</v>
      </c>
      <c r="L10" s="64">
        <v>2025</v>
      </c>
      <c r="M10" s="64">
        <v>2026</v>
      </c>
      <c r="N10" s="64">
        <v>2027</v>
      </c>
      <c r="O10" s="64">
        <v>2028</v>
      </c>
      <c r="P10" s="64">
        <v>2029</v>
      </c>
      <c r="Q10" s="64">
        <v>2030</v>
      </c>
      <c r="R10" s="63" t="s">
        <v>16</v>
      </c>
    </row>
    <row r="11" spans="1:28" x14ac:dyDescent="0.25">
      <c r="A11" s="5"/>
      <c r="B11" s="4" t="s">
        <v>4</v>
      </c>
      <c r="C11" s="85">
        <v>10842</v>
      </c>
      <c r="D11" s="85">
        <v>13094</v>
      </c>
      <c r="E11" s="85">
        <v>15451</v>
      </c>
      <c r="F11" s="85">
        <v>17772</v>
      </c>
      <c r="G11" s="85">
        <v>21454</v>
      </c>
      <c r="H11" s="14">
        <v>25332.14</v>
      </c>
      <c r="I11" s="14">
        <v>30063.29</v>
      </c>
      <c r="J11" s="14">
        <v>36494.29</v>
      </c>
      <c r="K11" s="14">
        <v>43831.199999999997</v>
      </c>
      <c r="L11" s="14">
        <f t="shared" ref="L11:R11" si="0">K11*(1+L12)</f>
        <v>52597.439999999995</v>
      </c>
      <c r="M11" s="14">
        <f t="shared" si="0"/>
        <v>63116.927999999993</v>
      </c>
      <c r="N11" s="14">
        <f t="shared" si="0"/>
        <v>72584.467199999985</v>
      </c>
      <c r="O11" s="14">
        <f t="shared" si="0"/>
        <v>83472.137279999981</v>
      </c>
      <c r="P11" s="14">
        <f t="shared" si="0"/>
        <v>91819.351007999983</v>
      </c>
      <c r="Q11" s="14">
        <f t="shared" si="0"/>
        <v>101001.28610879999</v>
      </c>
      <c r="R11" s="14">
        <f t="shared" si="0"/>
        <v>104536.33112260798</v>
      </c>
    </row>
    <row r="12" spans="1:28" x14ac:dyDescent="0.25">
      <c r="A12" s="5"/>
      <c r="B12" s="4" t="s">
        <v>1</v>
      </c>
      <c r="C12" s="12"/>
      <c r="D12" s="12">
        <f t="shared" ref="D12:G12" si="1">D11/C11-1</f>
        <v>0.20771075447334431</v>
      </c>
      <c r="E12" s="12">
        <f t="shared" si="1"/>
        <v>0.18000610966855057</v>
      </c>
      <c r="F12" s="12">
        <f t="shared" si="1"/>
        <v>0.15021681444566704</v>
      </c>
      <c r="G12" s="12">
        <f t="shared" si="1"/>
        <v>0.20717983344586988</v>
      </c>
      <c r="H12" s="65">
        <f t="shared" ref="H12:K12" si="2">H11/G11-1</f>
        <v>0.18076535844131625</v>
      </c>
      <c r="I12" s="65">
        <f t="shared" si="2"/>
        <v>0.18676471865385236</v>
      </c>
      <c r="J12" s="65">
        <f t="shared" si="2"/>
        <v>0.21391537652731962</v>
      </c>
      <c r="K12" s="65">
        <f t="shared" si="2"/>
        <v>0.2010426836636634</v>
      </c>
      <c r="L12" s="65">
        <v>0.2</v>
      </c>
      <c r="M12" s="65">
        <v>0.2</v>
      </c>
      <c r="N12" s="65">
        <v>0.15</v>
      </c>
      <c r="O12" s="15">
        <v>0.15</v>
      </c>
      <c r="P12" s="15">
        <v>0.1</v>
      </c>
      <c r="Q12" s="15">
        <v>0.1</v>
      </c>
      <c r="R12" s="15">
        <v>3.5000000000000003E-2</v>
      </c>
    </row>
    <row r="13" spans="1:28" ht="15.95" customHeight="1" x14ac:dyDescent="0.25">
      <c r="A13" s="5"/>
      <c r="B13" s="4" t="s">
        <v>18</v>
      </c>
      <c r="C13" s="12">
        <v>0.14628297362110312</v>
      </c>
      <c r="D13" s="12">
        <v>0.16244081258591719</v>
      </c>
      <c r="E13" s="12">
        <v>0.1419972817293379</v>
      </c>
      <c r="F13" s="12">
        <v>0.15299347287868559</v>
      </c>
      <c r="G13" s="12">
        <v>0.15330474503589075</v>
      </c>
      <c r="H13" s="65">
        <v>0.25230000000000002</v>
      </c>
      <c r="I13" s="65">
        <v>0.249</v>
      </c>
      <c r="J13" s="65">
        <v>0.25969999999999999</v>
      </c>
      <c r="K13" s="65">
        <v>0.27</v>
      </c>
      <c r="L13" s="65">
        <v>0.28000000000000003</v>
      </c>
      <c r="M13" s="65">
        <v>0.28000000000000003</v>
      </c>
      <c r="N13" s="65">
        <v>0.26</v>
      </c>
      <c r="O13" s="65">
        <v>0.28000000000000003</v>
      </c>
      <c r="P13" s="65">
        <v>0.28999999999999998</v>
      </c>
      <c r="Q13" s="65">
        <v>0.28000000000000003</v>
      </c>
      <c r="R13" s="65">
        <v>0.31</v>
      </c>
    </row>
    <row r="14" spans="1:28" ht="17.100000000000001" customHeight="1" x14ac:dyDescent="0.25">
      <c r="A14" s="5"/>
      <c r="B14" s="4" t="s">
        <v>19</v>
      </c>
      <c r="C14" s="85">
        <f>C11*C13</f>
        <v>1586</v>
      </c>
      <c r="D14" s="85">
        <f t="shared" ref="D14:G14" si="3">D11*D13</f>
        <v>2126.9999999999995</v>
      </c>
      <c r="E14" s="85">
        <f t="shared" si="3"/>
        <v>2194</v>
      </c>
      <c r="F14" s="85">
        <f t="shared" si="3"/>
        <v>2719.0000000000005</v>
      </c>
      <c r="G14" s="85">
        <f t="shared" si="3"/>
        <v>3289.0000000000005</v>
      </c>
      <c r="H14" s="14">
        <f>H11*H13</f>
        <v>6391.2989220000009</v>
      </c>
      <c r="I14" s="14">
        <f>I11*I13</f>
        <v>7485.7592100000002</v>
      </c>
      <c r="J14" s="14">
        <f>J11*J13</f>
        <v>9477.5671129999992</v>
      </c>
      <c r="K14" s="14">
        <f>K11*K13</f>
        <v>11834.424000000001</v>
      </c>
      <c r="L14" s="14">
        <f t="shared" ref="L14:R14" si="4">L11*L13</f>
        <v>14727.2832</v>
      </c>
      <c r="M14" s="14">
        <f t="shared" si="4"/>
        <v>17672.739839999998</v>
      </c>
      <c r="N14" s="14">
        <f t="shared" si="4"/>
        <v>18871.961471999995</v>
      </c>
      <c r="O14" s="14">
        <f>O11*O13</f>
        <v>23372.198438399995</v>
      </c>
      <c r="P14" s="14">
        <f t="shared" si="4"/>
        <v>26627.611792319993</v>
      </c>
      <c r="Q14" s="14">
        <f t="shared" si="4"/>
        <v>28280.360110464</v>
      </c>
      <c r="R14" s="14">
        <f t="shared" si="4"/>
        <v>32406.262648008473</v>
      </c>
    </row>
    <row r="15" spans="1:28" ht="16.5" thickBot="1" x14ac:dyDescent="0.3">
      <c r="A15" s="13">
        <v>0.25</v>
      </c>
      <c r="B15" s="4" t="s">
        <v>32</v>
      </c>
      <c r="C15" s="86">
        <v>1401</v>
      </c>
      <c r="D15" s="85">
        <v>1795</v>
      </c>
      <c r="E15" s="85">
        <v>2057</v>
      </c>
      <c r="F15" s="85">
        <v>2459</v>
      </c>
      <c r="G15" s="85">
        <v>4202</v>
      </c>
      <c r="H15" s="14">
        <f>H11*0.2161</f>
        <v>5474.2754539999996</v>
      </c>
      <c r="I15" s="14">
        <f>I11*0.2077</f>
        <v>6244.1453330000004</v>
      </c>
      <c r="J15" s="14">
        <f>J11*0.2157</f>
        <v>7871.8183530000006</v>
      </c>
      <c r="K15" s="14">
        <f>K11*0.2255</f>
        <v>9883.9355999999989</v>
      </c>
      <c r="L15" s="14">
        <f t="shared" ref="L15:Q15" si="5">L14*(1-$A$15)</f>
        <v>11045.4624</v>
      </c>
      <c r="M15" s="14">
        <f t="shared" si="5"/>
        <v>13254.55488</v>
      </c>
      <c r="N15" s="14">
        <f t="shared" si="5"/>
        <v>14153.971103999997</v>
      </c>
      <c r="O15" s="14">
        <f t="shared" si="5"/>
        <v>17529.148828799996</v>
      </c>
      <c r="P15" s="14">
        <f t="shared" si="5"/>
        <v>19970.708844239995</v>
      </c>
      <c r="Q15" s="14">
        <f t="shared" si="5"/>
        <v>21210.270082848001</v>
      </c>
      <c r="R15" s="14">
        <f>R14*(1-$A$15)</f>
        <v>24304.696986006355</v>
      </c>
    </row>
    <row r="16" spans="1:28" ht="32.25" thickBot="1" x14ac:dyDescent="0.3">
      <c r="A16" s="16" t="s">
        <v>6</v>
      </c>
      <c r="B16" s="17"/>
      <c r="C16" s="18"/>
      <c r="D16" s="18"/>
      <c r="E16" s="19"/>
      <c r="F16" s="19"/>
      <c r="G16" s="19"/>
      <c r="H16" s="19">
        <f>H15/H14</f>
        <v>0.85652001585414173</v>
      </c>
      <c r="I16" s="19">
        <f>I15/I14</f>
        <v>0.83413654618473898</v>
      </c>
      <c r="J16" s="19">
        <f>J15/J14</f>
        <v>0.83057373892953423</v>
      </c>
      <c r="K16" s="19">
        <f>K15/K14</f>
        <v>0.83518518518518503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9" t="s">
        <v>14</v>
      </c>
      <c r="G19" s="60"/>
      <c r="H19" s="61">
        <f>H15/(1+$C$55)</f>
        <v>4976.6140490909083</v>
      </c>
      <c r="I19" s="61">
        <f>I15/(1+$C$55)^2</f>
        <v>5160.4506884297516</v>
      </c>
      <c r="J19" s="61">
        <f>J15/(1+$C$55)^3</f>
        <v>5914.2136386175798</v>
      </c>
      <c r="K19" s="61">
        <f>K15/(1+$C$55)^4</f>
        <v>6750.861006761831</v>
      </c>
      <c r="L19" s="61">
        <f>L15/(1+$C$55)^5</f>
        <v>6858.3631272081493</v>
      </c>
      <c r="M19" s="61">
        <f>M15/(1+$C$55)^6</f>
        <v>7481.8506842270708</v>
      </c>
      <c r="N19" s="61">
        <f>N15/(1+$C$55)^7</f>
        <v>7263.2251772204327</v>
      </c>
      <c r="O19" s="61">
        <f>O15/(1+$C$55)^8</f>
        <v>8177.4772974299985</v>
      </c>
      <c r="P19" s="61">
        <f>P15/(1+$C$55)^9</f>
        <v>8469.5300580524981</v>
      </c>
      <c r="Q19" s="61">
        <f>Q15/(1+$C$55)^10</f>
        <v>8177.4772974299995</v>
      </c>
      <c r="R19" s="62">
        <f>(R15/(C55-R12))/(1+C55)^10</f>
        <v>144161.73576266019</v>
      </c>
    </row>
    <row r="20" spans="1:18" x14ac:dyDescent="0.25">
      <c r="A20" s="2"/>
      <c r="C20" s="1" t="s">
        <v>30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34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8" t="s">
        <v>28</v>
      </c>
      <c r="B23" s="39"/>
      <c r="C23" s="39"/>
      <c r="D23" s="40"/>
      <c r="E23" s="28"/>
      <c r="F23" s="39"/>
      <c r="G23" s="28"/>
      <c r="H23" s="28"/>
      <c r="I23" s="28"/>
      <c r="J23" s="29"/>
    </row>
    <row r="24" spans="1:18" x14ac:dyDescent="0.25">
      <c r="A24" s="41"/>
      <c r="B24" s="42"/>
      <c r="C24" s="42"/>
      <c r="D24" s="43"/>
      <c r="E24" s="42"/>
      <c r="F24" s="42"/>
      <c r="G24" s="31"/>
      <c r="H24" s="31"/>
      <c r="I24" s="31"/>
      <c r="J24" s="32"/>
    </row>
    <row r="25" spans="1:18" x14ac:dyDescent="0.25">
      <c r="A25" s="41" t="s">
        <v>7</v>
      </c>
      <c r="B25" s="42" t="s">
        <v>38</v>
      </c>
      <c r="C25" s="42"/>
      <c r="D25" s="44">
        <v>0.08</v>
      </c>
      <c r="E25" s="31"/>
      <c r="F25" s="42"/>
      <c r="G25" s="31"/>
      <c r="H25" s="31"/>
      <c r="I25" s="31"/>
      <c r="J25" s="32"/>
    </row>
    <row r="26" spans="1:18" x14ac:dyDescent="0.25">
      <c r="A26" s="41"/>
      <c r="B26" s="42" t="s">
        <v>36</v>
      </c>
      <c r="C26" s="42"/>
      <c r="D26" s="44">
        <v>0.01</v>
      </c>
      <c r="E26" s="31"/>
      <c r="F26" s="42"/>
      <c r="G26" s="31"/>
      <c r="H26" s="31"/>
      <c r="I26" s="31"/>
      <c r="J26" s="32"/>
    </row>
    <row r="27" spans="1:18" x14ac:dyDescent="0.25">
      <c r="A27" s="41"/>
      <c r="B27" s="42"/>
      <c r="C27" s="42"/>
      <c r="D27" s="44"/>
      <c r="E27" s="31"/>
      <c r="F27" s="42"/>
      <c r="G27" s="31"/>
      <c r="H27" s="31"/>
      <c r="I27" s="31"/>
      <c r="J27" s="32"/>
    </row>
    <row r="28" spans="1:18" x14ac:dyDescent="0.25">
      <c r="A28" s="41"/>
      <c r="B28" s="42"/>
      <c r="C28" s="42"/>
      <c r="D28" s="45"/>
      <c r="E28" s="31"/>
      <c r="F28" s="42"/>
      <c r="G28" s="31"/>
      <c r="H28" s="31"/>
      <c r="I28" s="31"/>
      <c r="J28" s="32"/>
    </row>
    <row r="29" spans="1:18" x14ac:dyDescent="0.25">
      <c r="A29" s="41"/>
      <c r="B29" s="42"/>
      <c r="C29" s="42"/>
      <c r="D29" s="45"/>
      <c r="E29" s="31"/>
      <c r="F29" s="42"/>
      <c r="G29" s="31"/>
      <c r="H29" s="31"/>
      <c r="I29" s="31"/>
      <c r="J29" s="32"/>
    </row>
    <row r="30" spans="1:18" x14ac:dyDescent="0.25">
      <c r="A30" s="41"/>
      <c r="B30" s="42" t="s">
        <v>8</v>
      </c>
      <c r="C30" s="42"/>
      <c r="D30" s="46">
        <f>D25+D26+D27</f>
        <v>0.09</v>
      </c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3"/>
      <c r="E31" s="31"/>
      <c r="F31" s="42"/>
      <c r="G31" s="31"/>
      <c r="H31" s="31"/>
      <c r="I31" s="31"/>
      <c r="J31" s="32"/>
    </row>
    <row r="32" spans="1:18" x14ac:dyDescent="0.25">
      <c r="A32" s="30"/>
      <c r="B32" s="31"/>
      <c r="C32" s="47"/>
      <c r="D32" s="31"/>
      <c r="E32" s="42"/>
      <c r="F32" s="42"/>
      <c r="G32" s="31"/>
      <c r="H32" s="31"/>
      <c r="I32" s="31"/>
      <c r="J32" s="32"/>
    </row>
    <row r="33" spans="1:1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5">
      <c r="A34" s="41" t="s">
        <v>9</v>
      </c>
      <c r="B34" s="42" t="s">
        <v>37</v>
      </c>
      <c r="C34" s="48"/>
      <c r="D34" s="33">
        <v>0.01</v>
      </c>
      <c r="E34" s="31"/>
      <c r="F34" s="31"/>
      <c r="G34" s="31"/>
      <c r="H34" s="31"/>
      <c r="I34" s="31"/>
      <c r="J34" s="32"/>
    </row>
    <row r="35" spans="1:10" ht="15.75" hidden="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hidden="1" customHeight="1" x14ac:dyDescent="0.25">
      <c r="A36" s="30"/>
      <c r="B36" s="31" t="s">
        <v>10</v>
      </c>
      <c r="C36" s="31"/>
      <c r="D36" s="49">
        <v>0.08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idden="1" x14ac:dyDescent="0.25">
      <c r="A40" s="30"/>
      <c r="B40" s="50"/>
      <c r="C40" s="50">
        <v>0.12</v>
      </c>
      <c r="D40" s="50" t="e">
        <f>((NPV(C40,$H$15:$R$15)+(#REF!*(1+#REF!)/(C40-#REF!))/(1+C40)^(2040-2020))/$D$50)/$C$51-1</f>
        <v>#REF!</v>
      </c>
      <c r="E40" s="31"/>
      <c r="F40" s="31"/>
      <c r="G40" s="31"/>
      <c r="H40" s="31"/>
      <c r="I40" s="31"/>
      <c r="J40" s="32"/>
    </row>
    <row r="41" spans="1:10" hidden="1" x14ac:dyDescent="0.25">
      <c r="A41" s="30"/>
      <c r="B41" s="50"/>
      <c r="C41" s="50">
        <v>0.14000000000000001</v>
      </c>
      <c r="D41" s="50" t="e">
        <f>((NPV(C41,$H$15:$R$15)+(#REF!*(1+#REF!)/(C41-#REF!))/(1+C41)^(2040-2020))/$D$50)/$C$51-1</f>
        <v>#REF!</v>
      </c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0.16</v>
      </c>
      <c r="D42" s="50" t="e">
        <f>((NPV(C42,$H$15:$R$15)+(#REF!*(1+#REF!)/(C42-#REF!))/(1+C42)^(2040-2020))/$D$50)/$C$51-1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0.18</v>
      </c>
      <c r="D43" s="50" t="e">
        <f>((NPV(C43,$H$15:$R$15)+(#REF!*(1+#REF!)/(C43-#REF!))/(1+C43)^(2040-2020))/$D$50)/$C$51-1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0.2</v>
      </c>
      <c r="D44" s="50" t="e">
        <f>((NPV(C44,$H$15:$R$15)+(#REF!*(1+#REF!)/(C44-#REF!))/(1+C44)^(2040-2020))/$D$50)/$C$51-1</f>
        <v>#REF!</v>
      </c>
      <c r="E44" s="31"/>
      <c r="F44" s="31"/>
      <c r="G44" s="31"/>
      <c r="H44" s="31"/>
      <c r="I44" s="31"/>
      <c r="J44" s="32"/>
    </row>
    <row r="45" spans="1:10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6.5" thickBot="1" x14ac:dyDescent="0.3">
      <c r="A46" s="34"/>
      <c r="B46" s="35" t="s">
        <v>29</v>
      </c>
      <c r="C46" s="35"/>
      <c r="D46" s="51">
        <f>D30+D34</f>
        <v>9.9999999999999992E-2</v>
      </c>
      <c r="E46" s="35"/>
      <c r="F46" s="35"/>
      <c r="G46" s="35"/>
      <c r="H46" s="35"/>
      <c r="I46" s="35"/>
      <c r="J46" s="36"/>
    </row>
    <row r="48" spans="1:10" x14ac:dyDescent="0.25">
      <c r="A48" s="20"/>
      <c r="B48" s="21"/>
      <c r="C48" s="22">
        <v>44526</v>
      </c>
      <c r="D48" s="23" t="s">
        <v>3</v>
      </c>
      <c r="E48" s="24"/>
      <c r="F48" s="25"/>
      <c r="G48" s="26"/>
      <c r="H48" s="26"/>
      <c r="I48" s="26"/>
    </row>
    <row r="49" spans="1:10" x14ac:dyDescent="0.25">
      <c r="A49" s="52" t="s">
        <v>0</v>
      </c>
      <c r="B49" s="53" t="s">
        <v>5</v>
      </c>
      <c r="C49" s="84">
        <f>C50*C51</f>
        <v>220640.1047</v>
      </c>
      <c r="D49" s="55">
        <f>SUM(H19:R19)</f>
        <v>213391.79878712841</v>
      </c>
      <c r="E49" s="53" t="s">
        <v>35</v>
      </c>
    </row>
    <row r="50" spans="1:10" x14ac:dyDescent="0.25">
      <c r="A50" s="52"/>
      <c r="B50" s="53" t="s">
        <v>13</v>
      </c>
      <c r="C50" s="54">
        <v>1174.93</v>
      </c>
      <c r="D50" s="54">
        <f>C50</f>
        <v>1174.93</v>
      </c>
      <c r="E50" s="53"/>
    </row>
    <row r="51" spans="1:10" x14ac:dyDescent="0.25">
      <c r="A51" s="52"/>
      <c r="B51" s="53" t="s">
        <v>15</v>
      </c>
      <c r="C51" s="66">
        <v>187.79</v>
      </c>
      <c r="D51" s="66">
        <f>D49/(D50)</f>
        <v>181.6208614871766</v>
      </c>
      <c r="E51" s="53" t="s">
        <v>35</v>
      </c>
    </row>
    <row r="52" spans="1:10" x14ac:dyDescent="0.25">
      <c r="A52" s="52"/>
      <c r="B52" s="53" t="s">
        <v>2</v>
      </c>
      <c r="C52" s="53"/>
      <c r="D52" s="67">
        <f>IF(C51/D51-1&gt;0,0,C51/D51-1)</f>
        <v>0</v>
      </c>
      <c r="E52" s="53"/>
    </row>
    <row r="53" spans="1:10" x14ac:dyDescent="0.25">
      <c r="A53" s="52"/>
      <c r="B53" s="53" t="s">
        <v>17</v>
      </c>
      <c r="C53" s="53"/>
      <c r="D53" s="68">
        <f>IF(C51/D51-1&lt;0,0,C51/D51-1)</f>
        <v>3.3967125044492619E-2</v>
      </c>
      <c r="E53" s="53"/>
    </row>
    <row r="54" spans="1:10" x14ac:dyDescent="0.25">
      <c r="A54" s="53"/>
      <c r="B54" s="53"/>
      <c r="C54" s="53"/>
      <c r="D54" s="56"/>
      <c r="E54" s="56"/>
    </row>
    <row r="55" spans="1:10" x14ac:dyDescent="0.25">
      <c r="A55" s="56" t="s">
        <v>28</v>
      </c>
      <c r="B55" s="53"/>
      <c r="C55" s="58">
        <f>D46</f>
        <v>9.9999999999999992E-2</v>
      </c>
      <c r="D55" s="57"/>
      <c r="E55" s="53"/>
      <c r="J55" s="83"/>
    </row>
    <row r="56" spans="1:10" ht="16.5" thickBot="1" x14ac:dyDescent="0.3">
      <c r="A56" s="27"/>
      <c r="C56" s="77"/>
      <c r="D56" s="78"/>
    </row>
    <row r="57" spans="1:10" x14ac:dyDescent="0.25">
      <c r="A57" s="69" t="s">
        <v>27</v>
      </c>
      <c r="B57" s="28"/>
      <c r="C57" s="80">
        <v>27</v>
      </c>
      <c r="D57" s="28"/>
      <c r="E57" s="29"/>
    </row>
    <row r="58" spans="1:10" x14ac:dyDescent="0.25">
      <c r="A58" s="30" t="s">
        <v>31</v>
      </c>
      <c r="B58" s="31"/>
      <c r="C58" s="81">
        <f>E60/R11</f>
        <v>6.277499999999999</v>
      </c>
      <c r="D58" s="31"/>
      <c r="E58" s="32"/>
    </row>
    <row r="59" spans="1:10" x14ac:dyDescent="0.25">
      <c r="A59" s="30"/>
      <c r="B59" s="31"/>
      <c r="C59" s="81"/>
      <c r="D59" s="31"/>
      <c r="E59" s="32"/>
    </row>
    <row r="60" spans="1:10" x14ac:dyDescent="0.25">
      <c r="A60" s="30" t="s">
        <v>20</v>
      </c>
      <c r="B60" s="31"/>
      <c r="C60" s="81"/>
      <c r="D60" s="31"/>
      <c r="E60" s="70">
        <f>R15*C57</f>
        <v>656226.81862217153</v>
      </c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21</v>
      </c>
      <c r="B62" s="31"/>
      <c r="C62" s="82">
        <v>0</v>
      </c>
      <c r="D62" s="31"/>
      <c r="E62" s="32"/>
    </row>
    <row r="63" spans="1:10" x14ac:dyDescent="0.25">
      <c r="A63" s="30"/>
      <c r="B63" s="31"/>
      <c r="C63" s="31"/>
      <c r="D63" s="31"/>
      <c r="E63" s="32"/>
    </row>
    <row r="64" spans="1:10" x14ac:dyDescent="0.25">
      <c r="A64" s="30" t="s">
        <v>22</v>
      </c>
      <c r="B64" s="31"/>
      <c r="C64" s="31"/>
      <c r="D64" s="31"/>
      <c r="E64" s="70">
        <f>SUM(H15:R15)*C62</f>
        <v>0</v>
      </c>
    </row>
    <row r="65" spans="1:5" x14ac:dyDescent="0.25">
      <c r="A65" s="30"/>
      <c r="B65" s="31"/>
      <c r="C65" s="31"/>
      <c r="D65" s="31"/>
      <c r="E65" s="71"/>
    </row>
    <row r="66" spans="1:5" x14ac:dyDescent="0.25">
      <c r="A66" s="72" t="s">
        <v>23</v>
      </c>
      <c r="B66" s="31"/>
      <c r="C66" s="31"/>
      <c r="D66" s="31"/>
      <c r="E66" s="73">
        <f>(E64*0.25)*-1</f>
        <v>0</v>
      </c>
    </row>
    <row r="67" spans="1:5" x14ac:dyDescent="0.25">
      <c r="A67" s="30"/>
      <c r="B67" s="31"/>
      <c r="C67" s="50"/>
      <c r="D67" s="50"/>
      <c r="E67" s="74"/>
    </row>
    <row r="68" spans="1:5" x14ac:dyDescent="0.25">
      <c r="A68" s="30" t="s">
        <v>24</v>
      </c>
      <c r="B68" s="31"/>
      <c r="C68" s="31"/>
      <c r="D68" s="31"/>
      <c r="E68" s="70">
        <f>SUM(E60:E66)</f>
        <v>656226.81862217153</v>
      </c>
    </row>
    <row r="69" spans="1:5" x14ac:dyDescent="0.25">
      <c r="A69" s="30"/>
      <c r="B69" s="31"/>
      <c r="C69" s="31"/>
      <c r="D69" s="31"/>
      <c r="E69" s="70"/>
    </row>
    <row r="70" spans="1:5" x14ac:dyDescent="0.25">
      <c r="A70" s="30" t="s">
        <v>25</v>
      </c>
      <c r="B70" s="31"/>
      <c r="C70" s="31"/>
      <c r="D70" s="31"/>
      <c r="E70" s="74">
        <f>E68/C49-1</f>
        <v>1.974195554858126</v>
      </c>
    </row>
    <row r="71" spans="1:5" x14ac:dyDescent="0.25">
      <c r="A71" s="30"/>
      <c r="B71" s="31"/>
      <c r="C71" s="31"/>
      <c r="D71" s="31"/>
      <c r="E71" s="32"/>
    </row>
    <row r="72" spans="1:5" ht="16.5" thickBot="1" x14ac:dyDescent="0.3">
      <c r="A72" s="75" t="s">
        <v>26</v>
      </c>
      <c r="B72" s="76"/>
      <c r="C72" s="76"/>
      <c r="D72" s="76"/>
      <c r="E72" s="79">
        <f>(E68/C49)^(1/10)-1</f>
        <v>0.11515940639524658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abSelected="1" topLeftCell="A25" zoomScale="90" zoomScaleNormal="90" workbookViewId="0">
      <selection activeCell="R14" sqref="R14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33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39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4">
        <v>2022</v>
      </c>
      <c r="I10" s="64">
        <v>2023</v>
      </c>
      <c r="J10" s="64">
        <v>2024</v>
      </c>
      <c r="K10" s="64">
        <v>2025</v>
      </c>
      <c r="L10" s="64">
        <v>2026</v>
      </c>
      <c r="M10" s="64">
        <v>2027</v>
      </c>
      <c r="N10" s="64">
        <v>2028</v>
      </c>
      <c r="O10" s="64">
        <v>2029</v>
      </c>
      <c r="P10" s="64">
        <v>2030</v>
      </c>
      <c r="Q10" s="64">
        <v>2031</v>
      </c>
      <c r="R10" s="63" t="s">
        <v>40</v>
      </c>
    </row>
    <row r="11" spans="1:28" x14ac:dyDescent="0.25">
      <c r="A11" s="5"/>
      <c r="B11" s="4" t="s">
        <v>4</v>
      </c>
      <c r="C11" s="85">
        <v>13094</v>
      </c>
      <c r="D11" s="85">
        <v>15451</v>
      </c>
      <c r="E11" s="85">
        <v>17772</v>
      </c>
      <c r="F11" s="85">
        <v>21454</v>
      </c>
      <c r="G11" s="85">
        <v>25371</v>
      </c>
      <c r="H11" s="14">
        <f>G11*(1+H12)</f>
        <v>29684.07</v>
      </c>
      <c r="I11" s="14">
        <f t="shared" ref="I11" si="0">H11*(1+I12)</f>
        <v>34136.680499999995</v>
      </c>
      <c r="J11" s="14">
        <f t="shared" ref="J11" si="1">I11*(1+J12)</f>
        <v>39257.182574999992</v>
      </c>
      <c r="K11" s="14">
        <f t="shared" ref="K11" si="2">J11*(1+K12)</f>
        <v>45145.759961249983</v>
      </c>
      <c r="L11" s="14">
        <f t="shared" ref="L11" si="3">K11*(1+L12)</f>
        <v>49660.335957374984</v>
      </c>
      <c r="M11" s="14">
        <f t="shared" ref="M11" si="4">L11*(1+M12)</f>
        <v>54626.36955311249</v>
      </c>
      <c r="N11" s="14">
        <f t="shared" ref="N11" si="5">M11*(1+N12)</f>
        <v>60089.006508423743</v>
      </c>
      <c r="O11" s="14">
        <f t="shared" ref="O11" si="6">N11*(1+O12)</f>
        <v>64896.127029097646</v>
      </c>
      <c r="P11" s="14">
        <f t="shared" ref="P11" si="7">O11*(1+P12)</f>
        <v>70087.817191425464</v>
      </c>
      <c r="Q11" s="14">
        <f t="shared" ref="L11:R11" si="8">P11*(1+Q12)</f>
        <v>74293.086222910992</v>
      </c>
      <c r="R11" s="14">
        <f t="shared" si="8"/>
        <v>77264.809671827432</v>
      </c>
    </row>
    <row r="12" spans="1:28" x14ac:dyDescent="0.25">
      <c r="A12" s="5"/>
      <c r="B12" s="4" t="s">
        <v>1</v>
      </c>
      <c r="C12" s="12" t="e">
        <v>#DIV/0!</v>
      </c>
      <c r="D12" s="12">
        <v>0.18000610966855057</v>
      </c>
      <c r="E12" s="12">
        <v>0.15021681444566704</v>
      </c>
      <c r="F12" s="12">
        <v>0.20717983344586988</v>
      </c>
      <c r="G12" s="12">
        <v>0.18257667567819524</v>
      </c>
      <c r="H12" s="65">
        <v>0.17</v>
      </c>
      <c r="I12" s="65">
        <v>0.15</v>
      </c>
      <c r="J12" s="65">
        <v>0.15</v>
      </c>
      <c r="K12" s="65">
        <v>0.15</v>
      </c>
      <c r="L12" s="65">
        <v>0.1</v>
      </c>
      <c r="M12" s="65">
        <v>0.1</v>
      </c>
      <c r="N12" s="65">
        <v>0.1</v>
      </c>
      <c r="O12" s="15">
        <v>0.08</v>
      </c>
      <c r="P12" s="15">
        <v>0.08</v>
      </c>
      <c r="Q12" s="15">
        <v>0.06</v>
      </c>
      <c r="R12" s="15">
        <v>0.04</v>
      </c>
    </row>
    <row r="13" spans="1:28" ht="15.95" customHeight="1" x14ac:dyDescent="0.25">
      <c r="A13" s="5"/>
      <c r="B13" s="4" t="s">
        <v>18</v>
      </c>
      <c r="C13" s="12">
        <v>0.16244081258591719</v>
      </c>
      <c r="D13" s="12">
        <v>0.1419972817293379</v>
      </c>
      <c r="E13" s="12">
        <v>0.15299347287868559</v>
      </c>
      <c r="F13" s="12">
        <v>0.15330474503589075</v>
      </c>
      <c r="G13" s="12">
        <v>0.25230000000000002</v>
      </c>
      <c r="H13" s="65">
        <v>0.21</v>
      </c>
      <c r="I13" s="65">
        <v>0.22</v>
      </c>
      <c r="J13" s="65">
        <v>0.23</v>
      </c>
      <c r="K13" s="65">
        <v>0.24</v>
      </c>
      <c r="L13" s="65">
        <v>0.24</v>
      </c>
      <c r="M13" s="65">
        <v>0.25</v>
      </c>
      <c r="N13" s="65">
        <v>0.26</v>
      </c>
      <c r="O13" s="65">
        <v>0.27</v>
      </c>
      <c r="P13" s="65">
        <v>0.28000000000000003</v>
      </c>
      <c r="Q13" s="65">
        <v>0.28000000000000003</v>
      </c>
      <c r="R13" s="65">
        <v>0.28999999999999998</v>
      </c>
    </row>
    <row r="14" spans="1:28" ht="17.100000000000001" customHeight="1" x14ac:dyDescent="0.25">
      <c r="A14" s="5"/>
      <c r="B14" s="4" t="s">
        <v>19</v>
      </c>
      <c r="C14" s="85">
        <v>2126.9999999999995</v>
      </c>
      <c r="D14" s="85">
        <v>2194</v>
      </c>
      <c r="E14" s="85">
        <v>2719.0000000000005</v>
      </c>
      <c r="F14" s="85">
        <v>3289.0000000000005</v>
      </c>
      <c r="G14" s="85">
        <v>4262</v>
      </c>
      <c r="H14" s="14">
        <f>H11*H13</f>
        <v>6233.6547</v>
      </c>
      <c r="I14" s="14">
        <f>I11*I13</f>
        <v>7510.0697099999988</v>
      </c>
      <c r="J14" s="14">
        <f>J11*J13</f>
        <v>9029.1519922499992</v>
      </c>
      <c r="K14" s="14">
        <f t="shared" ref="K14:P14" si="9">K11*K13</f>
        <v>10834.982390699995</v>
      </c>
      <c r="L14" s="14">
        <f t="shared" si="9"/>
        <v>11918.480629769996</v>
      </c>
      <c r="M14" s="14">
        <f t="shared" si="9"/>
        <v>13656.592388278123</v>
      </c>
      <c r="N14" s="14">
        <f>N11*N13</f>
        <v>15623.141692190175</v>
      </c>
      <c r="O14" s="14">
        <f t="shared" ref="O14:P14" si="10">O11*O13</f>
        <v>17521.954297856366</v>
      </c>
      <c r="P14" s="14">
        <f t="shared" si="10"/>
        <v>19624.58881359913</v>
      </c>
      <c r="Q14" s="14">
        <f t="shared" ref="L14:R14" si="11">Q11*Q13</f>
        <v>20802.064142415078</v>
      </c>
      <c r="R14" s="14">
        <f t="shared" si="11"/>
        <v>22406.794804829955</v>
      </c>
    </row>
    <row r="15" spans="1:28" ht="16.5" thickBot="1" x14ac:dyDescent="0.3">
      <c r="A15" s="13">
        <v>0.25</v>
      </c>
      <c r="B15" s="4" t="s">
        <v>32</v>
      </c>
      <c r="C15" s="86">
        <v>1795</v>
      </c>
      <c r="D15" s="85">
        <v>2057</v>
      </c>
      <c r="E15" s="85">
        <v>2459</v>
      </c>
      <c r="F15" s="85">
        <v>4202</v>
      </c>
      <c r="G15" s="85">
        <v>4169</v>
      </c>
      <c r="H15" s="14">
        <f>H11*0.19</f>
        <v>5639.9732999999997</v>
      </c>
      <c r="I15" s="14">
        <f>I11*0.19</f>
        <v>6485.969294999999</v>
      </c>
      <c r="J15" s="14">
        <f>J11*0.21</f>
        <v>8244.0083407499988</v>
      </c>
      <c r="K15" s="14">
        <f t="shared" ref="K15:P15" si="12">K14*(1-$A$15)</f>
        <v>8126.2367930249966</v>
      </c>
      <c r="L15" s="14">
        <f t="shared" si="12"/>
        <v>8938.8604723274966</v>
      </c>
      <c r="M15" s="14">
        <f t="shared" si="12"/>
        <v>10242.444291208592</v>
      </c>
      <c r="N15" s="14">
        <f t="shared" si="12"/>
        <v>11717.35626914263</v>
      </c>
      <c r="O15" s="14">
        <f t="shared" si="12"/>
        <v>13141.465723392274</v>
      </c>
      <c r="P15" s="14">
        <f t="shared" si="12"/>
        <v>14718.441610199348</v>
      </c>
      <c r="Q15" s="14">
        <f t="shared" ref="L15:Q15" si="13">Q14*(1-$A$15)</f>
        <v>15601.548106811308</v>
      </c>
      <c r="R15" s="14">
        <f>R14*(1-$A$15)</f>
        <v>16805.096103622465</v>
      </c>
    </row>
    <row r="16" spans="1:28" ht="32.25" thickBot="1" x14ac:dyDescent="0.3">
      <c r="A16" s="16" t="s">
        <v>6</v>
      </c>
      <c r="B16" s="17"/>
      <c r="C16" s="18"/>
      <c r="D16" s="18"/>
      <c r="E16" s="19"/>
      <c r="F16" s="19"/>
      <c r="G16" s="19"/>
      <c r="H16" s="19">
        <f>H15/H14</f>
        <v>0.90476190476190466</v>
      </c>
      <c r="I16" s="19">
        <f>I15/I14</f>
        <v>0.86363636363636365</v>
      </c>
      <c r="J16" s="19">
        <f>J15/J14</f>
        <v>0.91304347826086951</v>
      </c>
      <c r="K16" s="19">
        <f>K15/K14</f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9" t="s">
        <v>14</v>
      </c>
      <c r="G19" s="60"/>
      <c r="H19" s="61">
        <f>H15/(1+$C$55)</f>
        <v>5127.2484545454536</v>
      </c>
      <c r="I19" s="61">
        <f>I15/(1+$C$55)^2</f>
        <v>5360.3052024793369</v>
      </c>
      <c r="J19" s="61">
        <f>J15/(1+$C$55)^3</f>
        <v>6193.8454851615297</v>
      </c>
      <c r="K19" s="61">
        <f>K15/(1+$C$55)^4</f>
        <v>5550.3290711187719</v>
      </c>
      <c r="L19" s="61">
        <f>L15/(1+$C$55)^5</f>
        <v>5550.3290711187719</v>
      </c>
      <c r="M19" s="61">
        <f>M15/(1+$C$55)^6</f>
        <v>5781.5927824153887</v>
      </c>
      <c r="N19" s="61">
        <f>N15/(1+$C$55)^7</f>
        <v>6012.8564937120036</v>
      </c>
      <c r="O19" s="61">
        <f>O15/(1+$C$55)^8</f>
        <v>6130.5907467357356</v>
      </c>
      <c r="P19" s="61">
        <f>P15/(1+$C$55)^9</f>
        <v>6242.0560330400222</v>
      </c>
      <c r="Q19" s="61">
        <f>Q15/(1+$C$55)^10</f>
        <v>6015.0721772931111</v>
      </c>
      <c r="R19" s="62">
        <f>(R15/(C55-R12))/(1+C55)^10</f>
        <v>107984.86718283346</v>
      </c>
    </row>
    <row r="20" spans="1:18" x14ac:dyDescent="0.25">
      <c r="A20" s="2"/>
      <c r="C20" s="1" t="s">
        <v>30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34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8" t="s">
        <v>28</v>
      </c>
      <c r="B23" s="39"/>
      <c r="C23" s="39"/>
      <c r="D23" s="40"/>
      <c r="E23" s="28"/>
      <c r="F23" s="39"/>
      <c r="G23" s="28"/>
      <c r="H23" s="28"/>
      <c r="I23" s="28"/>
      <c r="J23" s="29"/>
    </row>
    <row r="24" spans="1:18" x14ac:dyDescent="0.25">
      <c r="A24" s="41"/>
      <c r="B24" s="42"/>
      <c r="C24" s="42"/>
      <c r="D24" s="43"/>
      <c r="E24" s="42"/>
      <c r="F24" s="42"/>
      <c r="G24" s="31"/>
      <c r="H24" s="31"/>
      <c r="I24" s="31"/>
      <c r="J24" s="32"/>
    </row>
    <row r="25" spans="1:18" x14ac:dyDescent="0.25">
      <c r="A25" s="41" t="s">
        <v>7</v>
      </c>
      <c r="B25" s="42" t="s">
        <v>38</v>
      </c>
      <c r="C25" s="42"/>
      <c r="D25" s="44">
        <v>0.08</v>
      </c>
      <c r="E25" s="31"/>
      <c r="F25" s="42"/>
      <c r="G25" s="31"/>
      <c r="H25" s="31"/>
      <c r="I25" s="31"/>
      <c r="J25" s="32"/>
    </row>
    <row r="26" spans="1:18" x14ac:dyDescent="0.25">
      <c r="A26" s="41"/>
      <c r="B26" s="42" t="s">
        <v>36</v>
      </c>
      <c r="C26" s="42"/>
      <c r="D26" s="44">
        <v>0.01</v>
      </c>
      <c r="E26" s="31"/>
      <c r="F26" s="42"/>
      <c r="G26" s="31"/>
      <c r="H26" s="31"/>
      <c r="I26" s="31"/>
      <c r="J26" s="32"/>
    </row>
    <row r="27" spans="1:18" x14ac:dyDescent="0.25">
      <c r="A27" s="41"/>
      <c r="B27" s="42"/>
      <c r="C27" s="42"/>
      <c r="D27" s="44"/>
      <c r="E27" s="31"/>
      <c r="F27" s="42"/>
      <c r="G27" s="31"/>
      <c r="H27" s="31"/>
      <c r="I27" s="31"/>
      <c r="J27" s="32"/>
    </row>
    <row r="28" spans="1:18" x14ac:dyDescent="0.25">
      <c r="A28" s="41"/>
      <c r="B28" s="42"/>
      <c r="C28" s="42"/>
      <c r="D28" s="45"/>
      <c r="E28" s="31"/>
      <c r="F28" s="42"/>
      <c r="G28" s="31"/>
      <c r="H28" s="31"/>
      <c r="I28" s="31"/>
      <c r="J28" s="32"/>
    </row>
    <row r="29" spans="1:18" x14ac:dyDescent="0.25">
      <c r="A29" s="41"/>
      <c r="B29" s="42"/>
      <c r="C29" s="42"/>
      <c r="D29" s="45"/>
      <c r="E29" s="31"/>
      <c r="F29" s="42"/>
      <c r="G29" s="31"/>
      <c r="H29" s="31"/>
      <c r="I29" s="31"/>
      <c r="J29" s="32"/>
    </row>
    <row r="30" spans="1:18" x14ac:dyDescent="0.25">
      <c r="A30" s="41"/>
      <c r="B30" s="42" t="s">
        <v>8</v>
      </c>
      <c r="C30" s="42"/>
      <c r="D30" s="46">
        <f>D25+D26+D27</f>
        <v>0.09</v>
      </c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3"/>
      <c r="E31" s="31"/>
      <c r="F31" s="42"/>
      <c r="G31" s="31"/>
      <c r="H31" s="31"/>
      <c r="I31" s="31"/>
      <c r="J31" s="32"/>
    </row>
    <row r="32" spans="1:18" x14ac:dyDescent="0.25">
      <c r="A32" s="30"/>
      <c r="B32" s="31"/>
      <c r="C32" s="47"/>
      <c r="D32" s="31"/>
      <c r="E32" s="42"/>
      <c r="F32" s="42"/>
      <c r="G32" s="31"/>
      <c r="H32" s="31"/>
      <c r="I32" s="31"/>
      <c r="J32" s="32"/>
    </row>
    <row r="33" spans="1:1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5">
      <c r="A34" s="41" t="s">
        <v>9</v>
      </c>
      <c r="B34" s="42" t="s">
        <v>37</v>
      </c>
      <c r="C34" s="48"/>
      <c r="D34" s="33">
        <v>0.01</v>
      </c>
      <c r="E34" s="31"/>
      <c r="F34" s="31"/>
      <c r="G34" s="31"/>
      <c r="H34" s="31"/>
      <c r="I34" s="31"/>
      <c r="J34" s="32"/>
    </row>
    <row r="35" spans="1:10" ht="15.75" hidden="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hidden="1" customHeight="1" x14ac:dyDescent="0.25">
      <c r="A36" s="30"/>
      <c r="B36" s="31" t="s">
        <v>10</v>
      </c>
      <c r="C36" s="31"/>
      <c r="D36" s="49">
        <v>0.08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idden="1" x14ac:dyDescent="0.25">
      <c r="A40" s="30"/>
      <c r="B40" s="50"/>
      <c r="C40" s="50">
        <v>0.12</v>
      </c>
      <c r="D40" s="50" t="e">
        <f>((NPV(C40,$H$15:$R$15)+(#REF!*(1+#REF!)/(C40-#REF!))/(1+C40)^(2040-2020))/$D$50)/$C$51-1</f>
        <v>#REF!</v>
      </c>
      <c r="E40" s="31"/>
      <c r="F40" s="31"/>
      <c r="G40" s="31"/>
      <c r="H40" s="31"/>
      <c r="I40" s="31"/>
      <c r="J40" s="32"/>
    </row>
    <row r="41" spans="1:10" hidden="1" x14ac:dyDescent="0.25">
      <c r="A41" s="30"/>
      <c r="B41" s="50"/>
      <c r="C41" s="50">
        <v>0.14000000000000001</v>
      </c>
      <c r="D41" s="50" t="e">
        <f>((NPV(C41,$H$15:$R$15)+(#REF!*(1+#REF!)/(C41-#REF!))/(1+C41)^(2040-2020))/$D$50)/$C$51-1</f>
        <v>#REF!</v>
      </c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0.16</v>
      </c>
      <c r="D42" s="50" t="e">
        <f>((NPV(C42,$H$15:$R$15)+(#REF!*(1+#REF!)/(C42-#REF!))/(1+C42)^(2040-2020))/$D$50)/$C$51-1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0.18</v>
      </c>
      <c r="D43" s="50" t="e">
        <f>((NPV(C43,$H$15:$R$15)+(#REF!*(1+#REF!)/(C43-#REF!))/(1+C43)^(2040-2020))/$D$50)/$C$51-1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0.2</v>
      </c>
      <c r="D44" s="50" t="e">
        <f>((NPV(C44,$H$15:$R$15)+(#REF!*(1+#REF!)/(C44-#REF!))/(1+C44)^(2040-2020))/$D$50)/$C$51-1</f>
        <v>#REF!</v>
      </c>
      <c r="E44" s="31"/>
      <c r="F44" s="31"/>
      <c r="G44" s="31"/>
      <c r="H44" s="31"/>
      <c r="I44" s="31"/>
      <c r="J44" s="32"/>
    </row>
    <row r="45" spans="1:10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6.5" thickBot="1" x14ac:dyDescent="0.3">
      <c r="A46" s="34"/>
      <c r="B46" s="35" t="s">
        <v>29</v>
      </c>
      <c r="C46" s="35"/>
      <c r="D46" s="51">
        <f>D30+D34</f>
        <v>9.9999999999999992E-2</v>
      </c>
      <c r="E46" s="35"/>
      <c r="F46" s="35"/>
      <c r="G46" s="35"/>
      <c r="H46" s="35"/>
      <c r="I46" s="35"/>
      <c r="J46" s="36"/>
    </row>
    <row r="48" spans="1:10" x14ac:dyDescent="0.25">
      <c r="A48" s="20"/>
      <c r="B48" s="21"/>
      <c r="C48" s="22">
        <v>44594</v>
      </c>
      <c r="D48" s="23" t="s">
        <v>3</v>
      </c>
      <c r="E48" s="24"/>
      <c r="F48" s="25"/>
      <c r="G48" s="26"/>
      <c r="H48" s="26"/>
      <c r="I48" s="26"/>
    </row>
    <row r="49" spans="1:10" x14ac:dyDescent="0.25">
      <c r="A49" s="52" t="s">
        <v>0</v>
      </c>
      <c r="B49" s="53" t="s">
        <v>5</v>
      </c>
      <c r="C49" s="84">
        <f>C50*C51</f>
        <v>169189.92</v>
      </c>
      <c r="D49" s="55">
        <f>SUM(H19:R19)</f>
        <v>165949.09270045359</v>
      </c>
      <c r="E49" s="53" t="s">
        <v>35</v>
      </c>
    </row>
    <row r="50" spans="1:10" x14ac:dyDescent="0.25">
      <c r="A50" s="52"/>
      <c r="B50" s="53" t="s">
        <v>13</v>
      </c>
      <c r="C50" s="54">
        <v>1174.93</v>
      </c>
      <c r="D50" s="54">
        <f>C50</f>
        <v>1174.93</v>
      </c>
      <c r="E50" s="53"/>
    </row>
    <row r="51" spans="1:10" x14ac:dyDescent="0.25">
      <c r="A51" s="52"/>
      <c r="B51" s="53" t="s">
        <v>15</v>
      </c>
      <c r="C51" s="66">
        <v>144</v>
      </c>
      <c r="D51" s="66">
        <f>D49/(D50)</f>
        <v>141.24168478160706</v>
      </c>
      <c r="E51" s="53" t="s">
        <v>35</v>
      </c>
    </row>
    <row r="52" spans="1:10" x14ac:dyDescent="0.25">
      <c r="A52" s="52"/>
      <c r="B52" s="53" t="s">
        <v>2</v>
      </c>
      <c r="C52" s="53"/>
      <c r="D52" s="67">
        <f>IF(C51/D51-1&gt;0,0,C51/D51-1)</f>
        <v>0</v>
      </c>
      <c r="E52" s="53"/>
    </row>
    <row r="53" spans="1:10" x14ac:dyDescent="0.25">
      <c r="A53" s="52"/>
      <c r="B53" s="53" t="s">
        <v>17</v>
      </c>
      <c r="C53" s="53"/>
      <c r="D53" s="68">
        <f>IF(C51/D51-1&lt;0,0,C51/D51-1)</f>
        <v>1.9529045002953271E-2</v>
      </c>
      <c r="E53" s="53"/>
    </row>
    <row r="54" spans="1:10" x14ac:dyDescent="0.25">
      <c r="A54" s="53"/>
      <c r="B54" s="53"/>
      <c r="C54" s="53"/>
      <c r="D54" s="56"/>
      <c r="E54" s="56"/>
    </row>
    <row r="55" spans="1:10" x14ac:dyDescent="0.25">
      <c r="A55" s="56" t="s">
        <v>28</v>
      </c>
      <c r="B55" s="53"/>
      <c r="C55" s="58">
        <f>D46</f>
        <v>9.9999999999999992E-2</v>
      </c>
      <c r="D55" s="57"/>
      <c r="E55" s="53"/>
      <c r="J55" s="83"/>
    </row>
    <row r="56" spans="1:10" ht="16.5" thickBot="1" x14ac:dyDescent="0.3">
      <c r="A56" s="27"/>
      <c r="C56" s="77"/>
      <c r="D56" s="78"/>
    </row>
    <row r="57" spans="1:10" x14ac:dyDescent="0.25">
      <c r="A57" s="69" t="s">
        <v>27</v>
      </c>
      <c r="B57" s="28"/>
      <c r="C57" s="80">
        <v>27</v>
      </c>
      <c r="D57" s="28"/>
      <c r="E57" s="29"/>
    </row>
    <row r="58" spans="1:10" x14ac:dyDescent="0.25">
      <c r="A58" s="30" t="s">
        <v>31</v>
      </c>
      <c r="B58" s="31"/>
      <c r="C58" s="81">
        <f>E60/R11</f>
        <v>5.4519230769230766</v>
      </c>
      <c r="D58" s="31"/>
      <c r="E58" s="32"/>
    </row>
    <row r="59" spans="1:10" x14ac:dyDescent="0.25">
      <c r="A59" s="30"/>
      <c r="B59" s="31"/>
      <c r="C59" s="81"/>
      <c r="D59" s="31"/>
      <c r="E59" s="32"/>
    </row>
    <row r="60" spans="1:10" x14ac:dyDescent="0.25">
      <c r="A60" s="30" t="s">
        <v>20</v>
      </c>
      <c r="B60" s="31"/>
      <c r="C60" s="81"/>
      <c r="D60" s="31"/>
      <c r="E60" s="70">
        <f>Q15*C57</f>
        <v>421241.79888390529</v>
      </c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21</v>
      </c>
      <c r="B62" s="31"/>
      <c r="C62" s="82">
        <v>0</v>
      </c>
      <c r="D62" s="31"/>
      <c r="E62" s="32"/>
    </row>
    <row r="63" spans="1:10" x14ac:dyDescent="0.25">
      <c r="A63" s="30"/>
      <c r="B63" s="31"/>
      <c r="C63" s="31"/>
      <c r="D63" s="31"/>
      <c r="E63" s="32"/>
    </row>
    <row r="64" spans="1:10" x14ac:dyDescent="0.25">
      <c r="A64" s="30" t="s">
        <v>22</v>
      </c>
      <c r="B64" s="31"/>
      <c r="C64" s="31"/>
      <c r="D64" s="31"/>
      <c r="E64" s="70">
        <f>SUM(H15:R15)*C62</f>
        <v>0</v>
      </c>
    </row>
    <row r="65" spans="1:5" x14ac:dyDescent="0.25">
      <c r="A65" s="30"/>
      <c r="B65" s="31"/>
      <c r="C65" s="31"/>
      <c r="D65" s="31"/>
      <c r="E65" s="71"/>
    </row>
    <row r="66" spans="1:5" x14ac:dyDescent="0.25">
      <c r="A66" s="72" t="s">
        <v>23</v>
      </c>
      <c r="B66" s="31"/>
      <c r="C66" s="31"/>
      <c r="D66" s="31"/>
      <c r="E66" s="73">
        <f>(E64*0.25)*-1</f>
        <v>0</v>
      </c>
    </row>
    <row r="67" spans="1:5" x14ac:dyDescent="0.25">
      <c r="A67" s="30"/>
      <c r="B67" s="31"/>
      <c r="C67" s="50"/>
      <c r="D67" s="50"/>
      <c r="E67" s="74"/>
    </row>
    <row r="68" spans="1:5" x14ac:dyDescent="0.25">
      <c r="A68" s="30" t="s">
        <v>24</v>
      </c>
      <c r="B68" s="31"/>
      <c r="C68" s="31"/>
      <c r="D68" s="31"/>
      <c r="E68" s="70">
        <f>SUM(E60:E66)</f>
        <v>421241.79888390529</v>
      </c>
    </row>
    <row r="69" spans="1:5" x14ac:dyDescent="0.25">
      <c r="A69" s="30"/>
      <c r="B69" s="31"/>
      <c r="C69" s="31"/>
      <c r="D69" s="31"/>
      <c r="E69" s="70"/>
    </row>
    <row r="70" spans="1:5" x14ac:dyDescent="0.25">
      <c r="A70" s="30" t="s">
        <v>25</v>
      </c>
      <c r="B70" s="31"/>
      <c r="C70" s="31"/>
      <c r="D70" s="31"/>
      <c r="E70" s="74">
        <f>E68/C49-1</f>
        <v>1.4897570664015047</v>
      </c>
    </row>
    <row r="71" spans="1:5" x14ac:dyDescent="0.25">
      <c r="A71" s="30"/>
      <c r="B71" s="31"/>
      <c r="C71" s="31"/>
      <c r="D71" s="31"/>
      <c r="E71" s="32"/>
    </row>
    <row r="72" spans="1:5" ht="16.5" thickBot="1" x14ac:dyDescent="0.3">
      <c r="A72" s="75" t="s">
        <v>26</v>
      </c>
      <c r="B72" s="76"/>
      <c r="C72" s="76"/>
      <c r="D72" s="76"/>
      <c r="E72" s="79">
        <f>(E68/C49)^(1/10)-1</f>
        <v>9.550836324203793E-2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Bewertung 02.02.2022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2022-02-02T14:06:45Z</dcterms:modified>
</cp:coreProperties>
</file>