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Sea/"/>
    </mc:Choice>
  </mc:AlternateContent>
  <xr:revisionPtr revIDLastSave="94" documentId="11_6453F8E0548C1614153197FCDB4D8A2332542B38" xr6:coauthVersionLast="47" xr6:coauthVersionMax="47" xr10:uidLastSave="{BEC35F56-BC6B-49C6-B37C-F098B5C94844}"/>
  <bookViews>
    <workbookView xWindow="-120" yWindow="-120" windowWidth="29040" windowHeight="15720" activeTab="1" xr2:uid="{00000000-000D-0000-FFFF-FFFF00000000}"/>
  </bookViews>
  <sheets>
    <sheet name="Pessimisitsch" sheetId="27" r:id="rId1"/>
    <sheet name="Optimistisch" sheetId="2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7" l="1"/>
  <c r="J15" i="27"/>
  <c r="D50" i="27"/>
  <c r="C49" i="27"/>
  <c r="D46" i="27"/>
  <c r="C55" i="27" s="1"/>
  <c r="I31" i="27"/>
  <c r="I25" i="27"/>
  <c r="F16" i="27"/>
  <c r="G15" i="27"/>
  <c r="G16" i="27" s="1"/>
  <c r="G14" i="27"/>
  <c r="F13" i="27"/>
  <c r="G12" i="27"/>
  <c r="K15" i="25"/>
  <c r="I31" i="25"/>
  <c r="I25" i="25"/>
  <c r="J15" i="25" l="1"/>
  <c r="I15" i="25"/>
  <c r="H15" i="25"/>
  <c r="G15" i="25"/>
  <c r="F13" i="25"/>
  <c r="D46" i="25" l="1"/>
  <c r="C55" i="25" s="1"/>
  <c r="J57" i="25"/>
  <c r="I57" i="25"/>
  <c r="H57" i="25"/>
  <c r="G14" i="25"/>
  <c r="H14" i="25"/>
  <c r="I14" i="25"/>
  <c r="I16" i="25" s="1"/>
  <c r="J14" i="25"/>
  <c r="D50" i="25"/>
  <c r="C49" i="25"/>
  <c r="J12" i="25"/>
  <c r="I12" i="25"/>
  <c r="H12" i="25"/>
  <c r="G12" i="25"/>
  <c r="F16" i="25" l="1"/>
  <c r="G16" i="25"/>
  <c r="J19" i="25"/>
  <c r="I19" i="25"/>
  <c r="H16" i="25"/>
  <c r="J16" i="25"/>
  <c r="H19" i="25"/>
  <c r="K11" i="25" l="1"/>
  <c r="K14" i="25" s="1"/>
  <c r="L11" i="25" l="1"/>
  <c r="K57" i="25" l="1"/>
  <c r="K19" i="25"/>
  <c r="L14" i="25"/>
  <c r="L15" i="25" s="1"/>
  <c r="M11" i="25"/>
  <c r="L19" i="25" l="1"/>
  <c r="L57" i="25"/>
  <c r="M14" i="25"/>
  <c r="M15" i="25" s="1"/>
  <c r="N11" i="25"/>
  <c r="N14" i="25" l="1"/>
  <c r="N15" i="25" s="1"/>
  <c r="O11" i="25"/>
  <c r="M57" i="25"/>
  <c r="M19" i="25"/>
  <c r="P11" i="25" l="1"/>
  <c r="O14" i="25"/>
  <c r="O15" i="25" s="1"/>
  <c r="N57" i="25"/>
  <c r="N19" i="25"/>
  <c r="P14" i="25" l="1"/>
  <c r="P15" i="25" s="1"/>
  <c r="Q11" i="25"/>
  <c r="O57" i="25"/>
  <c r="O19" i="25"/>
  <c r="R11" i="25" l="1"/>
  <c r="R14" i="25" s="1"/>
  <c r="R15" i="25" s="1"/>
  <c r="Q14" i="25"/>
  <c r="Q15" i="25" s="1"/>
  <c r="P57" i="25"/>
  <c r="P19" i="25"/>
  <c r="D42" i="25"/>
  <c r="D43" i="25"/>
  <c r="D40" i="25"/>
  <c r="D44" i="25"/>
  <c r="E66" i="25"/>
  <c r="E68" i="25" s="1"/>
  <c r="D41" i="25"/>
  <c r="E62" i="25" l="1"/>
  <c r="E70" i="25" s="1"/>
  <c r="Q19" i="25"/>
  <c r="Q57" i="25"/>
  <c r="D57" i="25" s="1"/>
  <c r="R19" i="25"/>
  <c r="D49" i="25" l="1"/>
  <c r="D51" i="25" s="1"/>
  <c r="D52" i="25" s="1"/>
  <c r="E74" i="25"/>
  <c r="E72" i="25"/>
  <c r="D53" i="25" l="1"/>
  <c r="H15" i="27" l="1"/>
  <c r="H11" i="27"/>
  <c r="H14" i="27"/>
  <c r="H16" i="27" l="1"/>
  <c r="H19" i="27"/>
  <c r="H57" i="27"/>
  <c r="I11" i="27"/>
  <c r="I14" i="27" s="1"/>
  <c r="I15" i="27" l="1"/>
  <c r="I57" i="27" l="1"/>
  <c r="I19" i="27"/>
  <c r="I16" i="27"/>
  <c r="J11" i="27"/>
  <c r="K11" i="27" s="1"/>
  <c r="K14" i="27" l="1"/>
  <c r="L11" i="27"/>
  <c r="J14" i="27"/>
  <c r="J19" i="27" l="1"/>
  <c r="J57" i="27"/>
  <c r="J16" i="27"/>
  <c r="M11" i="27"/>
  <c r="L14" i="27"/>
  <c r="L15" i="27" s="1"/>
  <c r="K19" i="27"/>
  <c r="K57" i="27"/>
  <c r="M14" i="27" l="1"/>
  <c r="M15" i="27" s="1"/>
  <c r="N11" i="27"/>
  <c r="L19" i="27"/>
  <c r="L57" i="27"/>
  <c r="O11" i="27" l="1"/>
  <c r="N14" i="27"/>
  <c r="N15" i="27" s="1"/>
  <c r="M19" i="27"/>
  <c r="M57" i="27"/>
  <c r="N19" i="27" l="1"/>
  <c r="N57" i="27"/>
  <c r="P11" i="27"/>
  <c r="O14" i="27"/>
  <c r="O15" i="27" s="1"/>
  <c r="O57" i="27" l="1"/>
  <c r="O19" i="27"/>
  <c r="P14" i="27"/>
  <c r="P15" i="27" s="1"/>
  <c r="Q11" i="27"/>
  <c r="P19" i="27" l="1"/>
  <c r="P57" i="27"/>
  <c r="R11" i="27"/>
  <c r="R14" i="27" s="1"/>
  <c r="R15" i="27" s="1"/>
  <c r="Q14" i="27"/>
  <c r="Q15" i="27" s="1"/>
  <c r="D42" i="27"/>
  <c r="E66" i="27" l="1"/>
  <c r="E68" i="27" s="1"/>
  <c r="E62" i="27"/>
  <c r="Q19" i="27"/>
  <c r="D43" i="27"/>
  <c r="R19" i="27"/>
  <c r="Q57" i="27"/>
  <c r="D57" i="27" s="1"/>
  <c r="D40" i="27"/>
  <c r="D41" i="27"/>
  <c r="D44" i="27"/>
  <c r="E70" i="27" l="1"/>
  <c r="E72" i="27" s="1"/>
  <c r="D49" i="27"/>
  <c r="D51" i="27" s="1"/>
  <c r="D53" i="27" s="1"/>
  <c r="E74" i="27" l="1"/>
  <c r="D52" i="27"/>
</calcChain>
</file>

<file path=xl/sharedStrings.xml><?xml version="1.0" encoding="utf-8"?>
<sst xmlns="http://schemas.openxmlformats.org/spreadsheetml/2006/main" count="100" uniqueCount="49">
  <si>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</si>
  <si>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</si>
  <si>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</si>
  <si>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</si>
  <si>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</si>
  <si>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</si>
  <si>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</si>
  <si>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</si>
  <si>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</si>
  <si>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</si>
  <si>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</si>
  <si>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</si>
  <si>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</si>
  <si>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</si>
  <si>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</si>
  <si>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</si>
  <si>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</si>
  <si>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</si>
  <si>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</si>
  <si>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</si>
  <si>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</si>
  <si>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</si>
  <si>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</si>
  <si>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</si>
  <si>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</si>
  <si>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</si>
  <si>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</si>
  <si>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 xml:space="preserve">Umsatzmultiple </t>
  </si>
  <si>
    <t>USD</t>
  </si>
  <si>
    <t xml:space="preserve">Alle Angaben in Mrd. </t>
  </si>
  <si>
    <t>Nullzinsmarkterwartung:</t>
  </si>
  <si>
    <t>Abgezinster Gewinn in Mrd. USD:</t>
  </si>
  <si>
    <t>(ab 2024)</t>
  </si>
  <si>
    <t xml:space="preserve">Gewinn </t>
  </si>
  <si>
    <t>2032ff.</t>
  </si>
  <si>
    <t>25 % Abschlag vom EBIT für Zins und Steuern</t>
  </si>
  <si>
    <t>Eigenkapitalverzinsung</t>
  </si>
  <si>
    <t>Risikoloser Basiszins:</t>
  </si>
  <si>
    <t>rF</t>
  </si>
  <si>
    <t>Risikoprämie:</t>
  </si>
  <si>
    <t>Marktrendite:</t>
  </si>
  <si>
    <t>rM</t>
  </si>
  <si>
    <t>Beta Faktor (Consumer Services):</t>
  </si>
  <si>
    <t>ß</t>
  </si>
  <si>
    <t xml:space="preserve">Eigenkapitalkosten: </t>
  </si>
  <si>
    <t>rE</t>
  </si>
  <si>
    <t>Negatives EK</t>
  </si>
  <si>
    <t>Gerundet inkl. Zuschlag</t>
  </si>
  <si>
    <t>Optimistische Annahmen für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</si>
</sst>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0" fillId="5" borderId="0" xfId="1" applyFont="1" applyFill="1"/>
    <xf numFmtId="9" fontId="1" fillId="6" borderId="0" xfId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5" borderId="0" xfId="0" applyNumberFormat="1" applyFont="1" applyFill="1"/>
    <xf numFmtId="4" fontId="0" fillId="5" borderId="0" xfId="0" applyNumberFormat="1" applyFill="1"/>
    <xf numFmtId="4" fontId="0" fillId="7" borderId="0" xfId="0" applyNumberFormat="1" applyFont="1" applyFill="1"/>
    <xf numFmtId="10" fontId="0" fillId="8" borderId="0" xfId="0" applyNumberFormat="1" applyFill="1"/>
    <xf numFmtId="4" fontId="1" fillId="8" borderId="0" xfId="1" applyNumberFormat="1" applyFont="1" applyFill="1"/>
    <xf numFmtId="0" fontId="0" fillId="2" borderId="0" xfId="0" quotePrefix="1" applyFill="1"/>
    <xf numFmtId="0" fontId="3" fillId="2" borderId="7" xfId="0" applyFont="1" applyFill="1" applyBorder="1"/>
    <xf numFmtId="0" fontId="3" fillId="2" borderId="0" xfId="0" applyFont="1" applyFill="1" applyBorder="1"/>
    <xf numFmtId="10" fontId="3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</cellXfs>
  <cellStyles count="3">
    <cellStyle name="Prozent" xfId="1" builtinId="5"/>
    <cellStyle name="Prozent 2" xfId="2" xr:uid="{00000000-0005-0000-0000-000001000000}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66"/>
      <color rgb="FFFFEB7D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C6B6F1B6-EEEB-4607-8D59-BF41638F0B65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552F1424-A6F3-4F23-8A02-538287781B0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169334</xdr:colOff>
      <xdr:row>22</xdr:row>
      <xdr:rowOff>21166</xdr:rowOff>
    </xdr:from>
    <xdr:to>
      <xdr:col>14</xdr:col>
      <xdr:colOff>482233</xdr:colOff>
      <xdr:row>29</xdr:row>
      <xdr:rowOff>3591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67B06B0-69CD-4B51-A333-8E6E13D77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42359" y="4812241"/>
          <a:ext cx="3551399" cy="138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1D34A2E0-AFE7-4A34-96FD-2086D5A4675A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154E6978-5B80-4453-A37D-505233416E0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169334</xdr:colOff>
      <xdr:row>22</xdr:row>
      <xdr:rowOff>21166</xdr:rowOff>
    </xdr:from>
    <xdr:to>
      <xdr:col>14</xdr:col>
      <xdr:colOff>482233</xdr:colOff>
      <xdr:row>29</xdr:row>
      <xdr:rowOff>3591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B49E9B0-77A1-4E22-B012-A5BEA4EFE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43417" y="4847166"/>
          <a:ext cx="3572566" cy="13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521AC-1AA1-410A-BA8C-FC8DDA048C1A}">
  <dimension ref="A2:AB74"/>
  <sheetViews>
    <sheetView topLeftCell="A28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5" t="s">
        <v>10</v>
      </c>
    </row>
    <row r="4" spans="1:28" x14ac:dyDescent="0.25">
      <c r="B4" s="25" t="s">
        <v>48</v>
      </c>
      <c r="L4" s="29"/>
      <c r="M4" s="29"/>
      <c r="N4" s="29"/>
      <c r="O4" s="29"/>
      <c r="P4" s="29"/>
      <c r="Q4" s="29"/>
      <c r="R4" s="29"/>
      <c r="S4" s="29"/>
    </row>
    <row r="5" spans="1:28" x14ac:dyDescent="0.25">
      <c r="L5" s="29"/>
      <c r="M5" s="29"/>
      <c r="N5" s="29"/>
      <c r="O5" s="29"/>
      <c r="P5" s="29"/>
      <c r="Q5" s="29"/>
      <c r="R5" s="29"/>
      <c r="S5" s="29"/>
    </row>
    <row r="6" spans="1:28" x14ac:dyDescent="0.25">
      <c r="B6" s="1" t="s">
        <v>29</v>
      </c>
      <c r="L6" s="29"/>
      <c r="M6" s="29"/>
      <c r="N6" s="29"/>
      <c r="O6" s="29"/>
      <c r="P6" s="29"/>
      <c r="Q6" s="29"/>
      <c r="R6" s="29"/>
      <c r="S6" s="29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2">
        <v>2022</v>
      </c>
      <c r="I10" s="62">
        <v>2023</v>
      </c>
      <c r="J10" s="62">
        <v>2024</v>
      </c>
      <c r="K10" s="62">
        <v>2025</v>
      </c>
      <c r="L10" s="62">
        <v>2026</v>
      </c>
      <c r="M10" s="62">
        <v>2027</v>
      </c>
      <c r="N10" s="62">
        <v>2028</v>
      </c>
      <c r="O10" s="62">
        <v>2029</v>
      </c>
      <c r="P10" s="62">
        <v>2030</v>
      </c>
      <c r="Q10" s="62">
        <v>2031</v>
      </c>
      <c r="R10" s="61" t="s">
        <v>34</v>
      </c>
    </row>
    <row r="11" spans="1:28" x14ac:dyDescent="0.25">
      <c r="A11" s="5"/>
      <c r="B11" s="4" t="s">
        <v>4</v>
      </c>
      <c r="C11" s="84"/>
      <c r="D11" s="84"/>
      <c r="E11" s="84"/>
      <c r="F11" s="84">
        <v>4.375</v>
      </c>
      <c r="G11" s="84">
        <v>9.7070000000000007</v>
      </c>
      <c r="H11" s="86">
        <f t="shared" ref="H11:J11" si="0">G11*(1+H12)</f>
        <v>13.5898</v>
      </c>
      <c r="I11" s="86">
        <f t="shared" si="0"/>
        <v>18.074434</v>
      </c>
      <c r="J11" s="86">
        <f t="shared" si="0"/>
        <v>23.496764200000001</v>
      </c>
      <c r="K11" s="86">
        <f>J11*(1+K12)</f>
        <v>28.196117040000001</v>
      </c>
      <c r="L11" s="86">
        <f>K11*(1+L12)</f>
        <v>31.015728744000004</v>
      </c>
      <c r="M11" s="86">
        <f t="shared" ref="M11:R11" si="1">L11*(1+M12)</f>
        <v>34.117301618400006</v>
      </c>
      <c r="N11" s="86">
        <f t="shared" si="1"/>
        <v>37.529031780240011</v>
      </c>
      <c r="O11" s="86">
        <f t="shared" si="1"/>
        <v>41.281934958264017</v>
      </c>
      <c r="P11" s="86">
        <f t="shared" si="1"/>
        <v>45.410128454090426</v>
      </c>
      <c r="Q11" s="86">
        <f t="shared" si="1"/>
        <v>49.04293873041766</v>
      </c>
      <c r="R11" s="86">
        <f t="shared" si="1"/>
        <v>50.023797505026018</v>
      </c>
    </row>
    <row r="12" spans="1:28" x14ac:dyDescent="0.25">
      <c r="A12" s="5"/>
      <c r="B12" s="4" t="s">
        <v>1</v>
      </c>
      <c r="C12" s="12"/>
      <c r="D12" s="12"/>
      <c r="E12" s="12"/>
      <c r="F12" s="12"/>
      <c r="G12" s="12">
        <f t="shared" ref="G12" si="2">G11/F11-1</f>
        <v>1.2187428571428573</v>
      </c>
      <c r="H12" s="63">
        <v>0.4</v>
      </c>
      <c r="I12" s="63">
        <v>0.33</v>
      </c>
      <c r="J12" s="63">
        <v>0.3</v>
      </c>
      <c r="K12" s="63">
        <v>0.2</v>
      </c>
      <c r="L12" s="63">
        <v>0.1</v>
      </c>
      <c r="M12" s="63">
        <v>0.1</v>
      </c>
      <c r="N12" s="63">
        <v>0.1</v>
      </c>
      <c r="O12" s="63">
        <v>0.1</v>
      </c>
      <c r="P12" s="63">
        <v>0.1</v>
      </c>
      <c r="Q12" s="63">
        <v>0.08</v>
      </c>
      <c r="R12" s="14">
        <v>0.02</v>
      </c>
    </row>
    <row r="13" spans="1:28" ht="15.95" customHeight="1" x14ac:dyDescent="0.25">
      <c r="A13" s="5"/>
      <c r="B13" s="4" t="s">
        <v>15</v>
      </c>
      <c r="C13" s="12"/>
      <c r="D13" s="12"/>
      <c r="E13" s="12"/>
      <c r="F13" s="12">
        <f>F14/F11</f>
        <v>-0.29782857142857139</v>
      </c>
      <c r="G13" s="12">
        <v>-0.15329999999999999</v>
      </c>
      <c r="H13" s="83">
        <v>-0.12</v>
      </c>
      <c r="I13" s="83">
        <v>-0.05</v>
      </c>
      <c r="J13" s="83">
        <v>0.05</v>
      </c>
      <c r="K13" s="83">
        <v>0.1</v>
      </c>
      <c r="L13" s="83">
        <v>0.15</v>
      </c>
      <c r="M13" s="83">
        <v>0.18</v>
      </c>
      <c r="N13" s="83">
        <v>0.18</v>
      </c>
      <c r="O13" s="83">
        <v>0.18</v>
      </c>
      <c r="P13" s="83">
        <v>0.18</v>
      </c>
      <c r="Q13" s="83">
        <v>0.18</v>
      </c>
      <c r="R13" s="83">
        <v>0.18</v>
      </c>
    </row>
    <row r="14" spans="1:28" ht="17.100000000000001" customHeight="1" x14ac:dyDescent="0.25">
      <c r="A14" s="5"/>
      <c r="B14" s="4" t="s">
        <v>16</v>
      </c>
      <c r="C14" s="84"/>
      <c r="D14" s="84"/>
      <c r="E14" s="84"/>
      <c r="F14" s="84">
        <v>-1.3029999999999999</v>
      </c>
      <c r="G14" s="84">
        <f>G11*G13</f>
        <v>-1.4880831000000001</v>
      </c>
      <c r="H14" s="86">
        <f t="shared" ref="H14:J14" si="3">H11*H13</f>
        <v>-1.630776</v>
      </c>
      <c r="I14" s="86">
        <f t="shared" si="3"/>
        <v>-0.90372170000000007</v>
      </c>
      <c r="J14" s="86">
        <f t="shared" si="3"/>
        <v>1.1748382100000001</v>
      </c>
      <c r="K14" s="86">
        <f>K11*K13</f>
        <v>2.8196117040000002</v>
      </c>
      <c r="L14" s="86">
        <f t="shared" ref="L14:R14" si="4">L11*L13</f>
        <v>4.6523593116000006</v>
      </c>
      <c r="M14" s="86">
        <f t="shared" si="4"/>
        <v>6.1411142913120011</v>
      </c>
      <c r="N14" s="86">
        <f t="shared" si="4"/>
        <v>6.7552257204432014</v>
      </c>
      <c r="O14" s="86">
        <f>O11*O13</f>
        <v>7.4307482924875226</v>
      </c>
      <c r="P14" s="86">
        <f t="shared" si="4"/>
        <v>8.1738231217362767</v>
      </c>
      <c r="Q14" s="86">
        <f t="shared" si="4"/>
        <v>8.8277289714751781</v>
      </c>
      <c r="R14" s="86">
        <f t="shared" si="4"/>
        <v>9.0042835509046828</v>
      </c>
    </row>
    <row r="15" spans="1:28" ht="16.5" thickBot="1" x14ac:dyDescent="0.3">
      <c r="A15" s="13">
        <v>0.25</v>
      </c>
      <c r="B15" s="4" t="s">
        <v>33</v>
      </c>
      <c r="C15" s="85"/>
      <c r="D15" s="84"/>
      <c r="E15" s="84"/>
      <c r="F15" s="84">
        <v>-1.6180000000000001</v>
      </c>
      <c r="G15" s="84">
        <f>G11*-0.1655</f>
        <v>-1.6065085000000001</v>
      </c>
      <c r="H15" s="86">
        <f>H11*-0.0988</f>
        <v>-1.34267224</v>
      </c>
      <c r="I15" s="86">
        <f>I11*-0.0196</f>
        <v>-0.35425890640000002</v>
      </c>
      <c r="J15" s="86">
        <f>J11*0.035</f>
        <v>0.82238674700000014</v>
      </c>
      <c r="K15" s="86">
        <f t="shared" ref="K15:Q15" si="5">K14*(1-$A$15)</f>
        <v>2.1147087780000002</v>
      </c>
      <c r="L15" s="86">
        <f t="shared" si="5"/>
        <v>3.4892694837000002</v>
      </c>
      <c r="M15" s="86">
        <f t="shared" si="5"/>
        <v>4.6058357184840011</v>
      </c>
      <c r="N15" s="86">
        <f t="shared" si="5"/>
        <v>5.0664192903324015</v>
      </c>
      <c r="O15" s="86">
        <f t="shared" si="5"/>
        <v>5.5730612193656421</v>
      </c>
      <c r="P15" s="86">
        <f t="shared" si="5"/>
        <v>6.1303673413022075</v>
      </c>
      <c r="Q15" s="86">
        <f t="shared" si="5"/>
        <v>6.6207967286063836</v>
      </c>
      <c r="R15" s="86">
        <f>R14*(1-$A$15)</f>
        <v>6.7532126631785125</v>
      </c>
    </row>
    <row r="16" spans="1:28" ht="32.25" thickBot="1" x14ac:dyDescent="0.3">
      <c r="A16" s="15" t="s">
        <v>6</v>
      </c>
      <c r="B16" s="16"/>
      <c r="C16" s="17"/>
      <c r="D16" s="17"/>
      <c r="E16" s="17"/>
      <c r="F16" s="17">
        <f t="shared" ref="F16:J16" si="6">F15/F14</f>
        <v>1.2417498081350731</v>
      </c>
      <c r="G16" s="17">
        <f t="shared" si="6"/>
        <v>1.0795825179386824</v>
      </c>
      <c r="H16" s="17">
        <f t="shared" si="6"/>
        <v>0.82333333333333336</v>
      </c>
      <c r="I16" s="17">
        <f t="shared" si="6"/>
        <v>0.39200000000000002</v>
      </c>
      <c r="J16" s="17">
        <f t="shared" si="6"/>
        <v>0.70000000000000007</v>
      </c>
      <c r="K16" s="17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7" t="s">
        <v>12</v>
      </c>
      <c r="G19" s="58"/>
      <c r="H19" s="59">
        <f>H15/(1+$C$55)</f>
        <v>-1.237485935483871</v>
      </c>
      <c r="I19" s="59">
        <f>I15/(1+$C$55)^2</f>
        <v>-0.30092710093652447</v>
      </c>
      <c r="J19" s="59">
        <f>J15/(1+$C$55)^3</f>
        <v>0.64385324426840329</v>
      </c>
      <c r="K19" s="59">
        <f>K15/(1+$C$55)^4</f>
        <v>1.5259194729205083</v>
      </c>
      <c r="L19" s="59">
        <f>L15/(1+$C$55)^5</f>
        <v>2.3205227007546898</v>
      </c>
      <c r="M19" s="59">
        <f>M15/(1+$C$55)^6</f>
        <v>2.8231243917015592</v>
      </c>
      <c r="N19" s="59">
        <f>N15/(1+$C$55)^7</f>
        <v>2.8621537611720873</v>
      </c>
      <c r="O19" s="59">
        <f>O15/(1+$C$55)^8</f>
        <v>2.9017227071790752</v>
      </c>
      <c r="P19" s="59">
        <f>P15/(1+$C$55)^9</f>
        <v>2.9418386893059756</v>
      </c>
      <c r="Q19" s="59">
        <f>Q15/(1+$C$55)^10</f>
        <v>2.9282818289865928</v>
      </c>
      <c r="R19" s="60">
        <f>(R15/(C55-R12))/(1+C55)^10</f>
        <v>45.951499470251157</v>
      </c>
    </row>
    <row r="20" spans="1:18" x14ac:dyDescent="0.25">
      <c r="A20" s="2"/>
      <c r="C20" s="89" t="s">
        <v>35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32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6" t="s">
        <v>36</v>
      </c>
      <c r="B23" s="37"/>
      <c r="C23" s="37"/>
      <c r="D23" s="38"/>
      <c r="E23" s="26"/>
      <c r="F23" s="37"/>
      <c r="G23" s="67" t="s">
        <v>37</v>
      </c>
      <c r="H23" s="26"/>
      <c r="I23" s="93">
        <v>1E-3</v>
      </c>
      <c r="J23" s="27" t="s">
        <v>38</v>
      </c>
    </row>
    <row r="24" spans="1:18" x14ac:dyDescent="0.25">
      <c r="A24" s="39"/>
      <c r="B24" s="40"/>
      <c r="C24" s="40"/>
      <c r="D24" s="41"/>
      <c r="E24" s="40"/>
      <c r="F24" s="40"/>
      <c r="G24" s="28"/>
      <c r="H24" s="29"/>
      <c r="I24" s="94"/>
      <c r="J24" s="30"/>
    </row>
    <row r="25" spans="1:18" x14ac:dyDescent="0.25">
      <c r="A25" s="39"/>
      <c r="B25" s="40"/>
      <c r="C25" s="40"/>
      <c r="D25" s="42"/>
      <c r="E25" s="29"/>
      <c r="F25" s="40"/>
      <c r="G25" s="28" t="s">
        <v>39</v>
      </c>
      <c r="H25" s="29"/>
      <c r="I25" s="95">
        <f>(I27-I23)*I29</f>
        <v>7.8659999999999994E-2</v>
      </c>
      <c r="J25" s="30"/>
    </row>
    <row r="26" spans="1:18" x14ac:dyDescent="0.25">
      <c r="A26" s="39"/>
      <c r="B26" s="40"/>
      <c r="C26" s="40"/>
      <c r="D26" s="42"/>
      <c r="E26" s="29"/>
      <c r="F26" s="40"/>
      <c r="G26" s="28"/>
      <c r="H26" s="29"/>
      <c r="I26" s="94"/>
      <c r="J26" s="30"/>
    </row>
    <row r="27" spans="1:18" x14ac:dyDescent="0.25">
      <c r="A27" s="39"/>
      <c r="B27" s="40"/>
      <c r="C27" s="40"/>
      <c r="D27" s="42"/>
      <c r="E27" s="29"/>
      <c r="F27" s="40"/>
      <c r="G27" s="28" t="s">
        <v>40</v>
      </c>
      <c r="H27" s="29"/>
      <c r="I27" s="96">
        <v>7.0000000000000007E-2</v>
      </c>
      <c r="J27" s="30" t="s">
        <v>41</v>
      </c>
    </row>
    <row r="28" spans="1:18" x14ac:dyDescent="0.25">
      <c r="A28" s="39"/>
      <c r="B28" s="40"/>
      <c r="C28" s="40"/>
      <c r="D28" s="43"/>
      <c r="E28" s="29"/>
      <c r="F28" s="40"/>
      <c r="G28" s="28"/>
      <c r="H28" s="29"/>
      <c r="I28" s="94"/>
      <c r="J28" s="30"/>
    </row>
    <row r="29" spans="1:18" x14ac:dyDescent="0.25">
      <c r="A29" s="39"/>
      <c r="B29" s="40"/>
      <c r="C29" s="40"/>
      <c r="D29" s="43"/>
      <c r="E29" s="29"/>
      <c r="F29" s="40"/>
      <c r="G29" s="28" t="s">
        <v>42</v>
      </c>
      <c r="H29" s="29"/>
      <c r="I29" s="94">
        <v>1.1399999999999999</v>
      </c>
      <c r="J29" s="30" t="s">
        <v>43</v>
      </c>
    </row>
    <row r="30" spans="1:18" x14ac:dyDescent="0.25">
      <c r="A30" s="39"/>
      <c r="B30" s="40"/>
      <c r="C30" s="40"/>
      <c r="D30" s="44"/>
      <c r="E30" s="29"/>
      <c r="F30" s="40"/>
      <c r="G30" s="28"/>
      <c r="H30" s="29"/>
      <c r="I30" s="94"/>
      <c r="J30" s="30"/>
    </row>
    <row r="31" spans="1:18" x14ac:dyDescent="0.25">
      <c r="A31" s="39"/>
      <c r="B31" s="40"/>
      <c r="C31" s="40"/>
      <c r="D31" s="41"/>
      <c r="E31" s="29"/>
      <c r="F31" s="40"/>
      <c r="G31" s="28" t="s">
        <v>44</v>
      </c>
      <c r="H31" s="29"/>
      <c r="I31" s="96">
        <f>I23+(I27-I23)*I29</f>
        <v>7.9659999999999995E-2</v>
      </c>
      <c r="J31" s="30" t="s">
        <v>45</v>
      </c>
    </row>
    <row r="32" spans="1:18" x14ac:dyDescent="0.25">
      <c r="A32" s="28"/>
      <c r="B32" s="29"/>
      <c r="C32" s="45"/>
      <c r="D32" s="29"/>
      <c r="E32" s="40"/>
      <c r="F32" s="40"/>
      <c r="G32" s="28"/>
      <c r="H32" s="29"/>
      <c r="I32" s="29"/>
      <c r="J32" s="30"/>
    </row>
    <row r="33" spans="1:10" x14ac:dyDescent="0.25">
      <c r="A33" s="28"/>
      <c r="B33" s="29"/>
      <c r="C33" s="29"/>
      <c r="D33" s="29"/>
      <c r="E33" s="29"/>
      <c r="F33" s="29"/>
      <c r="G33" s="90" t="s">
        <v>47</v>
      </c>
      <c r="H33" s="91"/>
      <c r="I33" s="92">
        <v>8.5000000000000006E-2</v>
      </c>
      <c r="J33" s="30"/>
    </row>
    <row r="34" spans="1:10" x14ac:dyDescent="0.25">
      <c r="A34" s="39" t="s">
        <v>7</v>
      </c>
      <c r="B34" s="40" t="s">
        <v>46</v>
      </c>
      <c r="C34" s="46"/>
      <c r="D34" s="31"/>
      <c r="E34" s="29"/>
      <c r="F34" s="29"/>
      <c r="G34" s="28"/>
      <c r="H34" s="29"/>
      <c r="I34" s="29"/>
      <c r="J34" s="30"/>
    </row>
    <row r="35" spans="1:10" ht="15.75" hidden="1" customHeight="1" x14ac:dyDescent="0.25">
      <c r="A35" s="28"/>
      <c r="B35" s="29"/>
      <c r="C35" s="29"/>
      <c r="D35" s="29"/>
      <c r="E35" s="29"/>
      <c r="F35" s="29"/>
      <c r="G35" s="28"/>
      <c r="H35" s="29"/>
      <c r="I35" s="29"/>
      <c r="J35" s="30"/>
    </row>
    <row r="36" spans="1:10" ht="15.75" hidden="1" customHeight="1" x14ac:dyDescent="0.25">
      <c r="A36" s="28"/>
      <c r="B36" s="29" t="s">
        <v>8</v>
      </c>
      <c r="C36" s="29"/>
      <c r="D36" s="47">
        <v>0.08</v>
      </c>
      <c r="E36" s="29"/>
      <c r="F36" s="29"/>
      <c r="G36" s="28"/>
      <c r="H36" s="29"/>
      <c r="I36" s="29"/>
      <c r="J36" s="30"/>
    </row>
    <row r="37" spans="1:10" ht="15.75" hidden="1" customHeight="1" x14ac:dyDescent="0.25">
      <c r="A37" s="28"/>
      <c r="B37" s="29"/>
      <c r="C37" s="29"/>
      <c r="D37" s="29"/>
      <c r="E37" s="29"/>
      <c r="F37" s="29"/>
      <c r="G37" s="28"/>
      <c r="H37" s="29"/>
      <c r="I37" s="29"/>
      <c r="J37" s="30"/>
    </row>
    <row r="38" spans="1:10" ht="15.75" hidden="1" customHeight="1" x14ac:dyDescent="0.25">
      <c r="A38" s="28"/>
      <c r="B38" s="29"/>
      <c r="C38" s="29"/>
      <c r="D38" s="29"/>
      <c r="E38" s="29"/>
      <c r="F38" s="29"/>
      <c r="G38" s="28"/>
      <c r="H38" s="29"/>
      <c r="I38" s="29"/>
      <c r="J38" s="30"/>
    </row>
    <row r="39" spans="1:10" ht="15.75" hidden="1" customHeight="1" x14ac:dyDescent="0.25">
      <c r="A39" s="28"/>
      <c r="B39" s="29"/>
      <c r="C39" s="29"/>
      <c r="D39" s="29"/>
      <c r="E39" s="29"/>
      <c r="F39" s="29"/>
      <c r="G39" s="28"/>
      <c r="H39" s="29"/>
      <c r="I39" s="29"/>
      <c r="J39" s="30"/>
    </row>
    <row r="40" spans="1:10" hidden="1" x14ac:dyDescent="0.25">
      <c r="A40" s="28"/>
      <c r="B40" s="48"/>
      <c r="C40" s="48">
        <v>0.12</v>
      </c>
      <c r="D40" s="48" t="e">
        <f>((NPV(C40,$H$15:$R$15)+(#REF!*(1+#REF!)/(C40-#REF!))/(1+C40)^(2040-2020))/$D$50)/$C$51-1</f>
        <v>#REF!</v>
      </c>
      <c r="E40" s="29"/>
      <c r="F40" s="29"/>
      <c r="G40" s="28"/>
      <c r="H40" s="29"/>
      <c r="I40" s="29"/>
      <c r="J40" s="30"/>
    </row>
    <row r="41" spans="1:10" hidden="1" x14ac:dyDescent="0.25">
      <c r="A41" s="28"/>
      <c r="B41" s="48"/>
      <c r="C41" s="48">
        <v>0.14000000000000001</v>
      </c>
      <c r="D41" s="48" t="e">
        <f>((NPV(C41,$H$15:$R$15)+(#REF!*(1+#REF!)/(C41-#REF!))/(1+C41)^(2040-2020))/$D$50)/$C$51-1</f>
        <v>#REF!</v>
      </c>
      <c r="E41" s="29"/>
      <c r="F41" s="29"/>
      <c r="G41" s="28"/>
      <c r="H41" s="29"/>
      <c r="I41" s="29"/>
      <c r="J41" s="30"/>
    </row>
    <row r="42" spans="1:10" hidden="1" x14ac:dyDescent="0.25">
      <c r="A42" s="28"/>
      <c r="B42" s="48"/>
      <c r="C42" s="48">
        <v>0.16</v>
      </c>
      <c r="D42" s="48" t="e">
        <f>((NPV(C42,$H$15:$R$15)+(#REF!*(1+#REF!)/(C42-#REF!))/(1+C42)^(2040-2020))/$D$50)/$C$51-1</f>
        <v>#REF!</v>
      </c>
      <c r="E42" s="29"/>
      <c r="F42" s="29"/>
      <c r="G42" s="28"/>
      <c r="H42" s="29"/>
      <c r="I42" s="29"/>
      <c r="J42" s="30"/>
    </row>
    <row r="43" spans="1:10" hidden="1" x14ac:dyDescent="0.25">
      <c r="A43" s="28"/>
      <c r="B43" s="48"/>
      <c r="C43" s="48">
        <v>0.18</v>
      </c>
      <c r="D43" s="48" t="e">
        <f>((NPV(C43,$H$15:$R$15)+(#REF!*(1+#REF!)/(C43-#REF!))/(1+C43)^(2040-2020))/$D$50)/$C$51-1</f>
        <v>#REF!</v>
      </c>
      <c r="E43" s="29"/>
      <c r="F43" s="29"/>
      <c r="G43" s="28"/>
      <c r="H43" s="29"/>
      <c r="I43" s="29"/>
      <c r="J43" s="30"/>
    </row>
    <row r="44" spans="1:10" hidden="1" x14ac:dyDescent="0.25">
      <c r="A44" s="28"/>
      <c r="B44" s="48"/>
      <c r="C44" s="48">
        <v>0.2</v>
      </c>
      <c r="D44" s="48" t="e">
        <f>((NPV(C44,$H$15:$R$15)+(#REF!*(1+#REF!)/(C44-#REF!))/(1+C44)^(2040-2020))/$D$50)/$C$51-1</f>
        <v>#REF!</v>
      </c>
      <c r="E44" s="29"/>
      <c r="F44" s="29"/>
      <c r="G44" s="28"/>
      <c r="H44" s="29"/>
      <c r="I44" s="29"/>
      <c r="J44" s="30"/>
    </row>
    <row r="45" spans="1:10" x14ac:dyDescent="0.25">
      <c r="A45" s="28"/>
      <c r="B45" s="29"/>
      <c r="C45" s="29"/>
      <c r="D45" s="29"/>
      <c r="E45" s="29"/>
      <c r="F45" s="29"/>
      <c r="G45" s="28"/>
      <c r="H45" s="29"/>
      <c r="I45" s="29"/>
      <c r="J45" s="30"/>
    </row>
    <row r="46" spans="1:10" ht="16.5" thickBot="1" x14ac:dyDescent="0.3">
      <c r="A46" s="32"/>
      <c r="B46" s="33" t="s">
        <v>26</v>
      </c>
      <c r="C46" s="33"/>
      <c r="D46" s="49">
        <f>I33</f>
        <v>8.5000000000000006E-2</v>
      </c>
      <c r="E46" s="33"/>
      <c r="F46" s="33"/>
      <c r="G46" s="32"/>
      <c r="H46" s="33"/>
      <c r="I46" s="33"/>
      <c r="J46" s="34"/>
    </row>
    <row r="48" spans="1:10" x14ac:dyDescent="0.25">
      <c r="A48" s="18"/>
      <c r="B48" s="19"/>
      <c r="C48" s="20">
        <v>44606</v>
      </c>
      <c r="D48" s="21" t="s">
        <v>3</v>
      </c>
      <c r="E48" s="22"/>
      <c r="F48" s="23"/>
      <c r="G48" s="24"/>
      <c r="H48" s="24"/>
      <c r="I48" s="24"/>
    </row>
    <row r="49" spans="1:17" x14ac:dyDescent="0.25">
      <c r="A49" s="50" t="s">
        <v>0</v>
      </c>
      <c r="B49" s="51" t="s">
        <v>5</v>
      </c>
      <c r="C49" s="82">
        <f>C50*C51</f>
        <v>79559.18204</v>
      </c>
      <c r="D49" s="53">
        <f>SUM(H19:R19)*1000</f>
        <v>63360.503230119648</v>
      </c>
      <c r="E49" s="51" t="s">
        <v>28</v>
      </c>
    </row>
    <row r="50" spans="1:17" x14ac:dyDescent="0.25">
      <c r="A50" s="50"/>
      <c r="B50" s="51" t="s">
        <v>11</v>
      </c>
      <c r="C50" s="52">
        <v>561.93799999999999</v>
      </c>
      <c r="D50" s="52">
        <f>C50</f>
        <v>561.93799999999999</v>
      </c>
      <c r="E50" s="51"/>
    </row>
    <row r="51" spans="1:17" x14ac:dyDescent="0.25">
      <c r="A51" s="50"/>
      <c r="B51" s="51" t="s">
        <v>13</v>
      </c>
      <c r="C51" s="64">
        <v>141.58000000000001</v>
      </c>
      <c r="D51" s="64">
        <f>D49/(D50)</f>
        <v>112.75354795390176</v>
      </c>
      <c r="E51" s="51" t="s">
        <v>28</v>
      </c>
    </row>
    <row r="52" spans="1:17" x14ac:dyDescent="0.25">
      <c r="A52" s="50"/>
      <c r="B52" s="51" t="s">
        <v>2</v>
      </c>
      <c r="C52" s="51"/>
      <c r="D52" s="65">
        <f>IF(C51/D51-1&gt;0,0,C51/D51-1)</f>
        <v>0</v>
      </c>
      <c r="E52" s="51"/>
    </row>
    <row r="53" spans="1:17" x14ac:dyDescent="0.25">
      <c r="A53" s="50"/>
      <c r="B53" s="51" t="s">
        <v>14</v>
      </c>
      <c r="C53" s="51"/>
      <c r="D53" s="66">
        <f>IF(C51/D51-1&lt;0,0,C51/D51-1)</f>
        <v>0.25565893552089092</v>
      </c>
      <c r="E53" s="51"/>
    </row>
    <row r="54" spans="1:17" x14ac:dyDescent="0.25">
      <c r="A54" s="51"/>
      <c r="B54" s="51"/>
      <c r="C54" s="51"/>
      <c r="D54" s="54"/>
      <c r="E54" s="54"/>
    </row>
    <row r="55" spans="1:17" x14ac:dyDescent="0.25">
      <c r="A55" s="54" t="s">
        <v>25</v>
      </c>
      <c r="B55" s="51"/>
      <c r="C55" s="56">
        <f>D46</f>
        <v>8.5000000000000006E-2</v>
      </c>
      <c r="D55" s="55"/>
      <c r="E55" s="51"/>
      <c r="J55" s="81"/>
    </row>
    <row r="56" spans="1:17" x14ac:dyDescent="0.25">
      <c r="A56" s="54"/>
      <c r="B56" s="51"/>
      <c r="C56" s="56"/>
      <c r="D56" s="55"/>
      <c r="E56" s="51"/>
    </row>
    <row r="57" spans="1:17" hidden="1" x14ac:dyDescent="0.25">
      <c r="A57" s="54" t="s">
        <v>30</v>
      </c>
      <c r="B57" s="87">
        <v>0.108</v>
      </c>
      <c r="C57" s="56"/>
      <c r="D57" s="88">
        <f>SUM(H57:Q57)*1000</f>
        <v>39965.353351323036</v>
      </c>
      <c r="E57" s="51"/>
      <c r="F57" s="1" t="s">
        <v>31</v>
      </c>
      <c r="H57" s="1">
        <f>H15/(1+$B$57)</f>
        <v>-1.211798050541516</v>
      </c>
      <c r="I57" s="1">
        <f>I15/(1+$B$57)^2</f>
        <v>-0.28856340692567339</v>
      </c>
      <c r="J57" s="1">
        <f>J15/(1+$B$57)^3</f>
        <v>0.60458423962637875</v>
      </c>
      <c r="K57" s="1">
        <f>K15/(1+$B$57)^4</f>
        <v>1.4031093750998986</v>
      </c>
      <c r="L57" s="1">
        <f>L15/(1+$B$57)^5</f>
        <v>2.0894679322336032</v>
      </c>
      <c r="M57" s="1">
        <f>M15/(1+$B$57)^6</f>
        <v>2.4892578254046538</v>
      </c>
      <c r="N57" s="1">
        <f>N15/(1+$B$57)^7</f>
        <v>2.4712848447158118</v>
      </c>
      <c r="O57" s="1">
        <f>O15/(1+$B$57)^8</f>
        <v>2.4534416328406063</v>
      </c>
      <c r="P57" s="1">
        <f>P15/(1+$B$57)^9</f>
        <v>2.4357272528200968</v>
      </c>
      <c r="Q57" s="1">
        <f>(R15/(B57-R12))/(1+B57)^10</f>
        <v>27.518841706049177</v>
      </c>
    </row>
    <row r="58" spans="1:17" ht="16.5" thickBot="1" x14ac:dyDescent="0.3">
      <c r="A58" s="25"/>
      <c r="C58" s="75"/>
      <c r="D58" s="76"/>
    </row>
    <row r="59" spans="1:17" x14ac:dyDescent="0.25">
      <c r="A59" s="67" t="s">
        <v>24</v>
      </c>
      <c r="B59" s="26"/>
      <c r="C59" s="78">
        <v>23</v>
      </c>
      <c r="D59" s="26"/>
      <c r="E59" s="27"/>
    </row>
    <row r="60" spans="1:17" x14ac:dyDescent="0.25">
      <c r="A60" s="28" t="s">
        <v>27</v>
      </c>
      <c r="B60" s="29"/>
      <c r="C60" s="79"/>
      <c r="D60" s="29"/>
      <c r="E60" s="30"/>
    </row>
    <row r="61" spans="1:17" x14ac:dyDescent="0.25">
      <c r="A61" s="28"/>
      <c r="B61" s="29"/>
      <c r="C61" s="79"/>
      <c r="D61" s="29"/>
      <c r="E61" s="30"/>
    </row>
    <row r="62" spans="1:17" x14ac:dyDescent="0.25">
      <c r="A62" s="28" t="s">
        <v>17</v>
      </c>
      <c r="B62" s="29"/>
      <c r="C62" s="79"/>
      <c r="D62" s="29"/>
      <c r="E62" s="68">
        <f>Q15*C59*1000</f>
        <v>152278.32475794683</v>
      </c>
    </row>
    <row r="63" spans="1:17" x14ac:dyDescent="0.25">
      <c r="A63" s="28"/>
      <c r="B63" s="29"/>
      <c r="C63" s="79"/>
      <c r="D63" s="29"/>
      <c r="E63" s="30"/>
    </row>
    <row r="64" spans="1:17" x14ac:dyDescent="0.25">
      <c r="A64" s="28" t="s">
        <v>18</v>
      </c>
      <c r="B64" s="29"/>
      <c r="C64" s="80">
        <v>0</v>
      </c>
      <c r="D64" s="29"/>
      <c r="E64" s="30"/>
    </row>
    <row r="65" spans="1:5" x14ac:dyDescent="0.25">
      <c r="A65" s="28"/>
      <c r="B65" s="29"/>
      <c r="C65" s="29"/>
      <c r="D65" s="29"/>
      <c r="E65" s="30"/>
    </row>
    <row r="66" spans="1:5" x14ac:dyDescent="0.25">
      <c r="A66" s="28" t="s">
        <v>19</v>
      </c>
      <c r="B66" s="29"/>
      <c r="C66" s="29"/>
      <c r="D66" s="29"/>
      <c r="E66" s="68">
        <f>SUM(H15:R15)*C64*1000</f>
        <v>0</v>
      </c>
    </row>
    <row r="67" spans="1:5" x14ac:dyDescent="0.25">
      <c r="A67" s="28"/>
      <c r="B67" s="29"/>
      <c r="C67" s="29"/>
      <c r="D67" s="29"/>
      <c r="E67" s="69"/>
    </row>
    <row r="68" spans="1:5" x14ac:dyDescent="0.25">
      <c r="A68" s="70" t="s">
        <v>20</v>
      </c>
      <c r="B68" s="29"/>
      <c r="C68" s="29"/>
      <c r="D68" s="29"/>
      <c r="E68" s="71">
        <f>(E66*0.25)*-1</f>
        <v>0</v>
      </c>
    </row>
    <row r="69" spans="1:5" x14ac:dyDescent="0.25">
      <c r="A69" s="28"/>
      <c r="B69" s="29"/>
      <c r="C69" s="48"/>
      <c r="D69" s="48"/>
      <c r="E69" s="72"/>
    </row>
    <row r="70" spans="1:5" x14ac:dyDescent="0.25">
      <c r="A70" s="28" t="s">
        <v>21</v>
      </c>
      <c r="B70" s="29"/>
      <c r="C70" s="29"/>
      <c r="D70" s="29"/>
      <c r="E70" s="68">
        <f>SUM(E62:E68)</f>
        <v>152278.32475794683</v>
      </c>
    </row>
    <row r="71" spans="1:5" x14ac:dyDescent="0.25">
      <c r="A71" s="28"/>
      <c r="B71" s="29"/>
      <c r="C71" s="29"/>
      <c r="D71" s="29"/>
      <c r="E71" s="68"/>
    </row>
    <row r="72" spans="1:5" x14ac:dyDescent="0.25">
      <c r="A72" s="28" t="s">
        <v>22</v>
      </c>
      <c r="B72" s="29"/>
      <c r="C72" s="29"/>
      <c r="D72" s="29"/>
      <c r="E72" s="72">
        <f>E70/C49-1</f>
        <v>0.91402577117228034</v>
      </c>
    </row>
    <row r="73" spans="1:5" x14ac:dyDescent="0.25">
      <c r="A73" s="28"/>
      <c r="B73" s="29"/>
      <c r="C73" s="29"/>
      <c r="D73" s="29"/>
      <c r="E73" s="30"/>
    </row>
    <row r="74" spans="1:5" ht="16.5" thickBot="1" x14ac:dyDescent="0.3">
      <c r="A74" s="73" t="s">
        <v>23</v>
      </c>
      <c r="B74" s="74"/>
      <c r="C74" s="74"/>
      <c r="D74" s="74"/>
      <c r="E74" s="77">
        <f>(E70/C49)^(1/10)-1</f>
        <v>6.7074589567482246E-2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74"/>
  <sheetViews>
    <sheetView tabSelected="1" topLeftCell="A19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5" t="s">
        <v>10</v>
      </c>
    </row>
    <row r="4" spans="1:28" x14ac:dyDescent="0.25">
      <c r="B4" s="25" t="s">
        <v>48</v>
      </c>
      <c r="L4" s="29"/>
      <c r="M4" s="29"/>
      <c r="N4" s="29"/>
      <c r="O4" s="29"/>
      <c r="P4" s="29"/>
      <c r="Q4" s="29"/>
      <c r="R4" s="29"/>
      <c r="S4" s="29"/>
    </row>
    <row r="5" spans="1:28" x14ac:dyDescent="0.25">
      <c r="L5" s="29"/>
      <c r="M5" s="29"/>
      <c r="N5" s="29"/>
      <c r="O5" s="29"/>
      <c r="P5" s="29"/>
      <c r="Q5" s="29"/>
      <c r="R5" s="29"/>
      <c r="S5" s="29"/>
    </row>
    <row r="6" spans="1:28" x14ac:dyDescent="0.25">
      <c r="B6" s="1" t="s">
        <v>29</v>
      </c>
      <c r="L6" s="29"/>
      <c r="M6" s="29"/>
      <c r="N6" s="29"/>
      <c r="O6" s="29"/>
      <c r="P6" s="29"/>
      <c r="Q6" s="29"/>
      <c r="R6" s="29"/>
      <c r="S6" s="29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2">
        <v>2022</v>
      </c>
      <c r="I10" s="62">
        <v>2023</v>
      </c>
      <c r="J10" s="62">
        <v>2024</v>
      </c>
      <c r="K10" s="62">
        <v>2025</v>
      </c>
      <c r="L10" s="62">
        <v>2026</v>
      </c>
      <c r="M10" s="62">
        <v>2027</v>
      </c>
      <c r="N10" s="62">
        <v>2028</v>
      </c>
      <c r="O10" s="62">
        <v>2029</v>
      </c>
      <c r="P10" s="62">
        <v>2030</v>
      </c>
      <c r="Q10" s="62">
        <v>2031</v>
      </c>
      <c r="R10" s="61" t="s">
        <v>34</v>
      </c>
    </row>
    <row r="11" spans="1:28" x14ac:dyDescent="0.25">
      <c r="A11" s="5"/>
      <c r="B11" s="4" t="s">
        <v>4</v>
      </c>
      <c r="C11" s="84"/>
      <c r="D11" s="84"/>
      <c r="E11" s="84"/>
      <c r="F11" s="84">
        <v>4.375</v>
      </c>
      <c r="G11" s="84">
        <v>9.7070000000000007</v>
      </c>
      <c r="H11" s="86">
        <v>14.347</v>
      </c>
      <c r="I11" s="86">
        <v>19.449000000000002</v>
      </c>
      <c r="J11" s="86">
        <v>27.231999999999999</v>
      </c>
      <c r="K11" s="86">
        <f>J11*(1+K12)</f>
        <v>34.04</v>
      </c>
      <c r="L11" s="86">
        <f>K11*(1+L12)</f>
        <v>39.145999999999994</v>
      </c>
      <c r="M11" s="86">
        <f t="shared" ref="M11:R11" si="0">L11*(1+M12)</f>
        <v>43.060599999999994</v>
      </c>
      <c r="N11" s="86">
        <f t="shared" si="0"/>
        <v>47.366659999999996</v>
      </c>
      <c r="O11" s="86">
        <f t="shared" si="0"/>
        <v>52.103326000000003</v>
      </c>
      <c r="P11" s="86">
        <f t="shared" si="0"/>
        <v>57.313658600000011</v>
      </c>
      <c r="Q11" s="86">
        <f t="shared" si="0"/>
        <v>61.898751288000014</v>
      </c>
      <c r="R11" s="86">
        <f t="shared" si="0"/>
        <v>63.136726313760015</v>
      </c>
    </row>
    <row r="12" spans="1:28" x14ac:dyDescent="0.25">
      <c r="A12" s="5"/>
      <c r="B12" s="4" t="s">
        <v>1</v>
      </c>
      <c r="C12" s="12"/>
      <c r="D12" s="12"/>
      <c r="E12" s="12"/>
      <c r="F12" s="12"/>
      <c r="G12" s="12">
        <f t="shared" ref="G12:J12" si="1">G11/F11-1</f>
        <v>1.2187428571428573</v>
      </c>
      <c r="H12" s="63">
        <f t="shared" si="1"/>
        <v>0.47800556299577601</v>
      </c>
      <c r="I12" s="63">
        <f t="shared" si="1"/>
        <v>0.3556144141632398</v>
      </c>
      <c r="J12" s="63">
        <f t="shared" si="1"/>
        <v>0.40017481618592199</v>
      </c>
      <c r="K12" s="63">
        <v>0.25</v>
      </c>
      <c r="L12" s="63">
        <v>0.15</v>
      </c>
      <c r="M12" s="63">
        <v>0.1</v>
      </c>
      <c r="N12" s="63">
        <v>0.1</v>
      </c>
      <c r="O12" s="63">
        <v>0.1</v>
      </c>
      <c r="P12" s="63">
        <v>0.1</v>
      </c>
      <c r="Q12" s="63">
        <v>0.08</v>
      </c>
      <c r="R12" s="14">
        <v>0.02</v>
      </c>
    </row>
    <row r="13" spans="1:28" ht="15.95" customHeight="1" x14ac:dyDescent="0.25">
      <c r="A13" s="5"/>
      <c r="B13" s="4" t="s">
        <v>15</v>
      </c>
      <c r="C13" s="12"/>
      <c r="D13" s="12"/>
      <c r="E13" s="12"/>
      <c r="F13" s="12">
        <f>F14/F11</f>
        <v>-0.29782857142857139</v>
      </c>
      <c r="G13" s="12">
        <v>-0.15329999999999999</v>
      </c>
      <c r="H13" s="83">
        <v>-8.7900000000000006E-2</v>
      </c>
      <c r="I13" s="83">
        <v>-1.4E-2</v>
      </c>
      <c r="J13" s="83">
        <v>0.15529999999999999</v>
      </c>
      <c r="K13" s="83">
        <v>0.2</v>
      </c>
      <c r="L13" s="83">
        <v>0.2</v>
      </c>
      <c r="M13" s="83">
        <v>0.2</v>
      </c>
      <c r="N13" s="83">
        <v>0.2</v>
      </c>
      <c r="O13" s="83">
        <v>0.21</v>
      </c>
      <c r="P13" s="83">
        <v>0.21</v>
      </c>
      <c r="Q13" s="83">
        <v>0.21</v>
      </c>
      <c r="R13" s="83">
        <v>0.21</v>
      </c>
    </row>
    <row r="14" spans="1:28" ht="17.100000000000001" customHeight="1" x14ac:dyDescent="0.25">
      <c r="A14" s="5"/>
      <c r="B14" s="4" t="s">
        <v>16</v>
      </c>
      <c r="C14" s="84"/>
      <c r="D14" s="84"/>
      <c r="E14" s="84"/>
      <c r="F14" s="84">
        <v>-1.3029999999999999</v>
      </c>
      <c r="G14" s="84">
        <f>G11*G13</f>
        <v>-1.4880831000000001</v>
      </c>
      <c r="H14" s="86">
        <f t="shared" ref="H14:J14" si="2">H11*H13</f>
        <v>-1.2611013</v>
      </c>
      <c r="I14" s="86">
        <f t="shared" si="2"/>
        <v>-0.27228600000000003</v>
      </c>
      <c r="J14" s="86">
        <f t="shared" si="2"/>
        <v>4.2291295999999994</v>
      </c>
      <c r="K14" s="86">
        <f>K11*K13</f>
        <v>6.8079999999999998</v>
      </c>
      <c r="L14" s="86">
        <f t="shared" ref="L14:R14" si="3">L11*L13</f>
        <v>7.8291999999999993</v>
      </c>
      <c r="M14" s="86">
        <f t="shared" si="3"/>
        <v>8.6121199999999991</v>
      </c>
      <c r="N14" s="86">
        <f t="shared" si="3"/>
        <v>9.4733319999999992</v>
      </c>
      <c r="O14" s="86">
        <f>O11*O13</f>
        <v>10.94169846</v>
      </c>
      <c r="P14" s="86">
        <f t="shared" si="3"/>
        <v>12.035868306000001</v>
      </c>
      <c r="Q14" s="86">
        <f t="shared" si="3"/>
        <v>12.998737770480002</v>
      </c>
      <c r="R14" s="86">
        <f t="shared" si="3"/>
        <v>13.258712525889603</v>
      </c>
    </row>
    <row r="15" spans="1:28" ht="16.5" thickBot="1" x14ac:dyDescent="0.3">
      <c r="A15" s="13">
        <v>0.25</v>
      </c>
      <c r="B15" s="4" t="s">
        <v>33</v>
      </c>
      <c r="C15" s="85"/>
      <c r="D15" s="84"/>
      <c r="E15" s="84"/>
      <c r="F15" s="84">
        <v>-1.6180000000000001</v>
      </c>
      <c r="G15" s="84">
        <f>G11*-0.1655</f>
        <v>-1.6065085000000001</v>
      </c>
      <c r="H15" s="86">
        <f>H11*-0.0988</f>
        <v>-1.4174836</v>
      </c>
      <c r="I15" s="86">
        <f>I11*-0.0196</f>
        <v>-0.38120039999999999</v>
      </c>
      <c r="J15" s="86">
        <f>J11*0.1499</f>
        <v>4.0820768000000003</v>
      </c>
      <c r="K15" s="86">
        <f>K11*0.186</f>
        <v>6.3314399999999997</v>
      </c>
      <c r="L15" s="86">
        <f t="shared" ref="L15:Q15" si="4">L14*(1-$A$15)</f>
        <v>5.8718999999999992</v>
      </c>
      <c r="M15" s="86">
        <f t="shared" si="4"/>
        <v>6.4590899999999998</v>
      </c>
      <c r="N15" s="86">
        <f t="shared" si="4"/>
        <v>7.1049989999999994</v>
      </c>
      <c r="O15" s="86">
        <f t="shared" si="4"/>
        <v>8.2062738450000001</v>
      </c>
      <c r="P15" s="86">
        <f t="shared" si="4"/>
        <v>9.0269012295000017</v>
      </c>
      <c r="Q15" s="86">
        <f t="shared" si="4"/>
        <v>9.7490533278600005</v>
      </c>
      <c r="R15" s="86">
        <f>R14*(1-$A$15)</f>
        <v>9.9440343944172014</v>
      </c>
    </row>
    <row r="16" spans="1:28" ht="32.25" thickBot="1" x14ac:dyDescent="0.3">
      <c r="A16" s="15" t="s">
        <v>6</v>
      </c>
      <c r="B16" s="16"/>
      <c r="C16" s="17"/>
      <c r="D16" s="17"/>
      <c r="E16" s="17"/>
      <c r="F16" s="17">
        <f t="shared" ref="F16:J16" si="5">F15/F14</f>
        <v>1.2417498081350731</v>
      </c>
      <c r="G16" s="17">
        <f t="shared" si="5"/>
        <v>1.0795825179386824</v>
      </c>
      <c r="H16" s="17">
        <f t="shared" si="5"/>
        <v>1.124004550625711</v>
      </c>
      <c r="I16" s="17">
        <f t="shared" si="5"/>
        <v>1.4</v>
      </c>
      <c r="J16" s="17">
        <f t="shared" si="5"/>
        <v>0.96522858982614312</v>
      </c>
      <c r="K16" s="17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7" t="s">
        <v>12</v>
      </c>
      <c r="G19" s="58"/>
      <c r="H19" s="59">
        <f>H15/(1+$C$55)</f>
        <v>-1.3064364976958525</v>
      </c>
      <c r="I19" s="59">
        <f>I15/(1+$C$55)^2</f>
        <v>-0.32381269510926119</v>
      </c>
      <c r="J19" s="59">
        <f>J15/(1+$C$55)^3</f>
        <v>3.1958909851361965</v>
      </c>
      <c r="K19" s="59">
        <f>K15/(1+$C$55)^4</f>
        <v>4.5686042863854901</v>
      </c>
      <c r="L19" s="59">
        <f>L15/(1+$C$55)^5</f>
        <v>3.9050802210073683</v>
      </c>
      <c r="M19" s="59">
        <f>M15/(1+$C$55)^6</f>
        <v>3.9590675051687607</v>
      </c>
      <c r="N19" s="59">
        <f>N15/(1+$C$55)^7</f>
        <v>4.0138011573139503</v>
      </c>
      <c r="O19" s="59">
        <f>O15/(1+$C$55)^8</f>
        <v>4.2727560706890451</v>
      </c>
      <c r="P19" s="59">
        <f>P15/(1+$C$55)^9</f>
        <v>4.3318264311133188</v>
      </c>
      <c r="Q19" s="59">
        <f>Q15/(1+$C$55)^10</f>
        <v>4.3118640973293854</v>
      </c>
      <c r="R19" s="60">
        <f>(R15/(C55-R12))/(1+C55)^10</f>
        <v>67.663098142707284</v>
      </c>
    </row>
    <row r="20" spans="1:18" x14ac:dyDescent="0.25">
      <c r="A20" s="2"/>
      <c r="C20" s="89" t="s">
        <v>35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32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6" t="s">
        <v>36</v>
      </c>
      <c r="B23" s="37"/>
      <c r="C23" s="37"/>
      <c r="D23" s="38"/>
      <c r="E23" s="26"/>
      <c r="F23" s="37"/>
      <c r="G23" s="67" t="s">
        <v>37</v>
      </c>
      <c r="H23" s="26"/>
      <c r="I23" s="93">
        <v>1E-3</v>
      </c>
      <c r="J23" s="27" t="s">
        <v>38</v>
      </c>
    </row>
    <row r="24" spans="1:18" x14ac:dyDescent="0.25">
      <c r="A24" s="39"/>
      <c r="B24" s="40"/>
      <c r="C24" s="40"/>
      <c r="D24" s="41"/>
      <c r="E24" s="40"/>
      <c r="F24" s="40"/>
      <c r="G24" s="28"/>
      <c r="H24" s="29"/>
      <c r="I24" s="94"/>
      <c r="J24" s="30"/>
    </row>
    <row r="25" spans="1:18" x14ac:dyDescent="0.25">
      <c r="A25" s="39"/>
      <c r="B25" s="40"/>
      <c r="C25" s="40"/>
      <c r="D25" s="42"/>
      <c r="E25" s="29"/>
      <c r="F25" s="40"/>
      <c r="G25" s="28" t="s">
        <v>39</v>
      </c>
      <c r="H25" s="29"/>
      <c r="I25" s="95">
        <f>(I27-I23)*I29</f>
        <v>7.8659999999999994E-2</v>
      </c>
      <c r="J25" s="30"/>
    </row>
    <row r="26" spans="1:18" x14ac:dyDescent="0.25">
      <c r="A26" s="39"/>
      <c r="B26" s="40"/>
      <c r="C26" s="40"/>
      <c r="D26" s="42"/>
      <c r="E26" s="29"/>
      <c r="F26" s="40"/>
      <c r="G26" s="28"/>
      <c r="H26" s="29"/>
      <c r="I26" s="94"/>
      <c r="J26" s="30"/>
    </row>
    <row r="27" spans="1:18" x14ac:dyDescent="0.25">
      <c r="A27" s="39"/>
      <c r="B27" s="40"/>
      <c r="C27" s="40"/>
      <c r="D27" s="42"/>
      <c r="E27" s="29"/>
      <c r="F27" s="40"/>
      <c r="G27" s="28" t="s">
        <v>40</v>
      </c>
      <c r="H27" s="29"/>
      <c r="I27" s="96">
        <v>7.0000000000000007E-2</v>
      </c>
      <c r="J27" s="30" t="s">
        <v>41</v>
      </c>
    </row>
    <row r="28" spans="1:18" x14ac:dyDescent="0.25">
      <c r="A28" s="39"/>
      <c r="B28" s="40"/>
      <c r="C28" s="40"/>
      <c r="D28" s="43"/>
      <c r="E28" s="29"/>
      <c r="F28" s="40"/>
      <c r="G28" s="28"/>
      <c r="H28" s="29"/>
      <c r="I28" s="94"/>
      <c r="J28" s="30"/>
    </row>
    <row r="29" spans="1:18" x14ac:dyDescent="0.25">
      <c r="A29" s="39"/>
      <c r="B29" s="40"/>
      <c r="C29" s="40"/>
      <c r="D29" s="43"/>
      <c r="E29" s="29"/>
      <c r="F29" s="40"/>
      <c r="G29" s="28" t="s">
        <v>42</v>
      </c>
      <c r="H29" s="29"/>
      <c r="I29" s="94">
        <v>1.1399999999999999</v>
      </c>
      <c r="J29" s="30" t="s">
        <v>43</v>
      </c>
    </row>
    <row r="30" spans="1:18" x14ac:dyDescent="0.25">
      <c r="A30" s="39"/>
      <c r="B30" s="40"/>
      <c r="C30" s="40"/>
      <c r="D30" s="44"/>
      <c r="E30" s="29"/>
      <c r="F30" s="40"/>
      <c r="G30" s="28"/>
      <c r="H30" s="29"/>
      <c r="I30" s="94"/>
      <c r="J30" s="30"/>
    </row>
    <row r="31" spans="1:18" x14ac:dyDescent="0.25">
      <c r="A31" s="39"/>
      <c r="B31" s="40"/>
      <c r="C31" s="40"/>
      <c r="D31" s="41"/>
      <c r="E31" s="29"/>
      <c r="F31" s="40"/>
      <c r="G31" s="28" t="s">
        <v>44</v>
      </c>
      <c r="H31" s="29"/>
      <c r="I31" s="96">
        <f>I23+(I27-I23)*I29</f>
        <v>7.9659999999999995E-2</v>
      </c>
      <c r="J31" s="30" t="s">
        <v>45</v>
      </c>
    </row>
    <row r="32" spans="1:18" x14ac:dyDescent="0.25">
      <c r="A32" s="28"/>
      <c r="B32" s="29"/>
      <c r="C32" s="45"/>
      <c r="D32" s="29"/>
      <c r="E32" s="40"/>
      <c r="F32" s="40"/>
      <c r="G32" s="28"/>
      <c r="H32" s="29"/>
      <c r="I32" s="29"/>
      <c r="J32" s="30"/>
    </row>
    <row r="33" spans="1:10" x14ac:dyDescent="0.25">
      <c r="A33" s="28"/>
      <c r="B33" s="29"/>
      <c r="C33" s="29"/>
      <c r="D33" s="29"/>
      <c r="E33" s="29"/>
      <c r="F33" s="29"/>
      <c r="G33" s="90" t="s">
        <v>47</v>
      </c>
      <c r="H33" s="91"/>
      <c r="I33" s="92">
        <v>8.5000000000000006E-2</v>
      </c>
      <c r="J33" s="30"/>
    </row>
    <row r="34" spans="1:10" x14ac:dyDescent="0.25">
      <c r="A34" s="39" t="s">
        <v>7</v>
      </c>
      <c r="B34" s="40" t="s">
        <v>46</v>
      </c>
      <c r="C34" s="46"/>
      <c r="D34" s="31"/>
      <c r="E34" s="29"/>
      <c r="F34" s="29"/>
      <c r="G34" s="28"/>
      <c r="H34" s="29"/>
      <c r="I34" s="29"/>
      <c r="J34" s="30"/>
    </row>
    <row r="35" spans="1:10" ht="15.75" hidden="1" customHeight="1" x14ac:dyDescent="0.25">
      <c r="A35" s="28"/>
      <c r="B35" s="29"/>
      <c r="C35" s="29"/>
      <c r="D35" s="29"/>
      <c r="E35" s="29"/>
      <c r="F35" s="29"/>
      <c r="G35" s="28"/>
      <c r="H35" s="29"/>
      <c r="I35" s="29"/>
      <c r="J35" s="30"/>
    </row>
    <row r="36" spans="1:10" ht="15.75" hidden="1" customHeight="1" x14ac:dyDescent="0.25">
      <c r="A36" s="28"/>
      <c r="B36" s="29" t="s">
        <v>8</v>
      </c>
      <c r="C36" s="29"/>
      <c r="D36" s="47">
        <v>0.08</v>
      </c>
      <c r="E36" s="29"/>
      <c r="F36" s="29"/>
      <c r="G36" s="28"/>
      <c r="H36" s="29"/>
      <c r="I36" s="29"/>
      <c r="J36" s="30"/>
    </row>
    <row r="37" spans="1:10" ht="15.75" hidden="1" customHeight="1" x14ac:dyDescent="0.25">
      <c r="A37" s="28"/>
      <c r="B37" s="29"/>
      <c r="C37" s="29"/>
      <c r="D37" s="29"/>
      <c r="E37" s="29"/>
      <c r="F37" s="29"/>
      <c r="G37" s="28"/>
      <c r="H37" s="29"/>
      <c r="I37" s="29"/>
      <c r="J37" s="30"/>
    </row>
    <row r="38" spans="1:10" ht="15.75" hidden="1" customHeight="1" x14ac:dyDescent="0.25">
      <c r="A38" s="28"/>
      <c r="B38" s="29"/>
      <c r="C38" s="29"/>
      <c r="D38" s="29"/>
      <c r="E38" s="29"/>
      <c r="F38" s="29"/>
      <c r="G38" s="28"/>
      <c r="H38" s="29"/>
      <c r="I38" s="29"/>
      <c r="J38" s="30"/>
    </row>
    <row r="39" spans="1:10" ht="15.75" hidden="1" customHeight="1" x14ac:dyDescent="0.25">
      <c r="A39" s="28"/>
      <c r="B39" s="29"/>
      <c r="C39" s="29"/>
      <c r="D39" s="29"/>
      <c r="E39" s="29"/>
      <c r="F39" s="29"/>
      <c r="G39" s="28"/>
      <c r="H39" s="29"/>
      <c r="I39" s="29"/>
      <c r="J39" s="30"/>
    </row>
    <row r="40" spans="1:10" hidden="1" x14ac:dyDescent="0.25">
      <c r="A40" s="28"/>
      <c r="B40" s="48"/>
      <c r="C40" s="48">
        <v>0.12</v>
      </c>
      <c r="D40" s="48" t="e">
        <f>((NPV(C40,$H$15:$R$15)+(#REF!*(1+#REF!)/(C40-#REF!))/(1+C40)^(2040-2020))/$D$50)/$C$51-1</f>
        <v>#REF!</v>
      </c>
      <c r="E40" s="29"/>
      <c r="F40" s="29"/>
      <c r="G40" s="28"/>
      <c r="H40" s="29"/>
      <c r="I40" s="29"/>
      <c r="J40" s="30"/>
    </row>
    <row r="41" spans="1:10" hidden="1" x14ac:dyDescent="0.25">
      <c r="A41" s="28"/>
      <c r="B41" s="48"/>
      <c r="C41" s="48">
        <v>0.14000000000000001</v>
      </c>
      <c r="D41" s="48" t="e">
        <f>((NPV(C41,$H$15:$R$15)+(#REF!*(1+#REF!)/(C41-#REF!))/(1+C41)^(2040-2020))/$D$50)/$C$51-1</f>
        <v>#REF!</v>
      </c>
      <c r="E41" s="29"/>
      <c r="F41" s="29"/>
      <c r="G41" s="28"/>
      <c r="H41" s="29"/>
      <c r="I41" s="29"/>
      <c r="J41" s="30"/>
    </row>
    <row r="42" spans="1:10" hidden="1" x14ac:dyDescent="0.25">
      <c r="A42" s="28"/>
      <c r="B42" s="48"/>
      <c r="C42" s="48">
        <v>0.16</v>
      </c>
      <c r="D42" s="48" t="e">
        <f>((NPV(C42,$H$15:$R$15)+(#REF!*(1+#REF!)/(C42-#REF!))/(1+C42)^(2040-2020))/$D$50)/$C$51-1</f>
        <v>#REF!</v>
      </c>
      <c r="E42" s="29"/>
      <c r="F42" s="29"/>
      <c r="G42" s="28"/>
      <c r="H42" s="29"/>
      <c r="I42" s="29"/>
      <c r="J42" s="30"/>
    </row>
    <row r="43" spans="1:10" hidden="1" x14ac:dyDescent="0.25">
      <c r="A43" s="28"/>
      <c r="B43" s="48"/>
      <c r="C43" s="48">
        <v>0.18</v>
      </c>
      <c r="D43" s="48" t="e">
        <f>((NPV(C43,$H$15:$R$15)+(#REF!*(1+#REF!)/(C43-#REF!))/(1+C43)^(2040-2020))/$D$50)/$C$51-1</f>
        <v>#REF!</v>
      </c>
      <c r="E43" s="29"/>
      <c r="F43" s="29"/>
      <c r="G43" s="28"/>
      <c r="H43" s="29"/>
      <c r="I43" s="29"/>
      <c r="J43" s="30"/>
    </row>
    <row r="44" spans="1:10" hidden="1" x14ac:dyDescent="0.25">
      <c r="A44" s="28"/>
      <c r="B44" s="48"/>
      <c r="C44" s="48">
        <v>0.2</v>
      </c>
      <c r="D44" s="48" t="e">
        <f>((NPV(C44,$H$15:$R$15)+(#REF!*(1+#REF!)/(C44-#REF!))/(1+C44)^(2040-2020))/$D$50)/$C$51-1</f>
        <v>#REF!</v>
      </c>
      <c r="E44" s="29"/>
      <c r="F44" s="29"/>
      <c r="G44" s="28"/>
      <c r="H44" s="29"/>
      <c r="I44" s="29"/>
      <c r="J44" s="30"/>
    </row>
    <row r="45" spans="1:10" x14ac:dyDescent="0.25">
      <c r="A45" s="28"/>
      <c r="B45" s="29"/>
      <c r="C45" s="29"/>
      <c r="D45" s="29"/>
      <c r="E45" s="29"/>
      <c r="F45" s="29"/>
      <c r="G45" s="28"/>
      <c r="H45" s="29"/>
      <c r="I45" s="29"/>
      <c r="J45" s="30"/>
    </row>
    <row r="46" spans="1:10" ht="16.5" thickBot="1" x14ac:dyDescent="0.3">
      <c r="A46" s="32"/>
      <c r="B46" s="33" t="s">
        <v>26</v>
      </c>
      <c r="C46" s="33"/>
      <c r="D46" s="49">
        <f>I33</f>
        <v>8.5000000000000006E-2</v>
      </c>
      <c r="E46" s="33"/>
      <c r="F46" s="33"/>
      <c r="G46" s="32"/>
      <c r="H46" s="33"/>
      <c r="I46" s="33"/>
      <c r="J46" s="34"/>
    </row>
    <row r="48" spans="1:10" x14ac:dyDescent="0.25">
      <c r="A48" s="18"/>
      <c r="B48" s="19"/>
      <c r="C48" s="20">
        <v>44606</v>
      </c>
      <c r="D48" s="21" t="s">
        <v>3</v>
      </c>
      <c r="E48" s="22"/>
      <c r="F48" s="23"/>
      <c r="G48" s="24"/>
      <c r="H48" s="24"/>
      <c r="I48" s="24"/>
    </row>
    <row r="49" spans="1:17" x14ac:dyDescent="0.25">
      <c r="A49" s="50" t="s">
        <v>0</v>
      </c>
      <c r="B49" s="51" t="s">
        <v>5</v>
      </c>
      <c r="C49" s="82">
        <f>C50*C51</f>
        <v>79559.18204</v>
      </c>
      <c r="D49" s="53">
        <f>SUM(H19:R19)*1000</f>
        <v>98591.7397040457</v>
      </c>
      <c r="E49" s="51" t="s">
        <v>28</v>
      </c>
    </row>
    <row r="50" spans="1:17" x14ac:dyDescent="0.25">
      <c r="A50" s="50"/>
      <c r="B50" s="51" t="s">
        <v>11</v>
      </c>
      <c r="C50" s="52">
        <v>561.93799999999999</v>
      </c>
      <c r="D50" s="52">
        <f>C50</f>
        <v>561.93799999999999</v>
      </c>
      <c r="E50" s="51"/>
    </row>
    <row r="51" spans="1:17" x14ac:dyDescent="0.25">
      <c r="A51" s="50"/>
      <c r="B51" s="51" t="s">
        <v>13</v>
      </c>
      <c r="C51" s="64">
        <v>141.58000000000001</v>
      </c>
      <c r="D51" s="64">
        <f>D49/(D50)</f>
        <v>175.44949746065527</v>
      </c>
      <c r="E51" s="51" t="s">
        <v>28</v>
      </c>
    </row>
    <row r="52" spans="1:17" x14ac:dyDescent="0.25">
      <c r="A52" s="50"/>
      <c r="B52" s="51" t="s">
        <v>2</v>
      </c>
      <c r="C52" s="51"/>
      <c r="D52" s="65">
        <f>IF(C51/D51-1&gt;0,0,C51/D51-1)</f>
        <v>-0.19304414062656705</v>
      </c>
      <c r="E52" s="51"/>
    </row>
    <row r="53" spans="1:17" x14ac:dyDescent="0.25">
      <c r="A53" s="50"/>
      <c r="B53" s="51" t="s">
        <v>14</v>
      </c>
      <c r="C53" s="51"/>
      <c r="D53" s="66">
        <f>IF(C51/D51-1&lt;0,0,C51/D51-1)</f>
        <v>0</v>
      </c>
      <c r="E53" s="51"/>
    </row>
    <row r="54" spans="1:17" x14ac:dyDescent="0.25">
      <c r="A54" s="51"/>
      <c r="B54" s="51"/>
      <c r="C54" s="51"/>
      <c r="D54" s="54"/>
      <c r="E54" s="54"/>
    </row>
    <row r="55" spans="1:17" x14ac:dyDescent="0.25">
      <c r="A55" s="54" t="s">
        <v>25</v>
      </c>
      <c r="B55" s="51"/>
      <c r="C55" s="56">
        <f>D46</f>
        <v>8.5000000000000006E-2</v>
      </c>
      <c r="D55" s="55"/>
      <c r="E55" s="51"/>
      <c r="J55" s="81"/>
    </row>
    <row r="56" spans="1:17" x14ac:dyDescent="0.25">
      <c r="A56" s="54"/>
      <c r="B56" s="51"/>
      <c r="C56" s="56"/>
      <c r="D56" s="55"/>
      <c r="E56" s="51"/>
    </row>
    <row r="57" spans="1:17" hidden="1" x14ac:dyDescent="0.25">
      <c r="A57" s="54" t="s">
        <v>30</v>
      </c>
      <c r="B57" s="87">
        <v>0.108</v>
      </c>
      <c r="C57" s="56"/>
      <c r="D57" s="88">
        <f>SUM(H57:Q57)*1000</f>
        <v>63805.281519184515</v>
      </c>
      <c r="E57" s="51"/>
      <c r="F57" s="1" t="s">
        <v>31</v>
      </c>
      <c r="H57" s="1">
        <f>H15/(1+$B$57)</f>
        <v>-1.2793173285198554</v>
      </c>
      <c r="I57" s="1">
        <f>I15/(1+$B$57)^2</f>
        <v>-0.31050873854735489</v>
      </c>
      <c r="J57" s="1">
        <f>J15/(1+$B$57)^3</f>
        <v>3.000971631932781</v>
      </c>
      <c r="K57" s="1">
        <f>K15/(1+$B$57)^4</f>
        <v>4.200910742085405</v>
      </c>
      <c r="L57" s="1">
        <f>L15/(1+$B$57)^5</f>
        <v>3.5162508394944503</v>
      </c>
      <c r="M57" s="1">
        <f>M15/(1+$B$57)^6</f>
        <v>3.4908627467905196</v>
      </c>
      <c r="N57" s="1">
        <f>N15/(1+$B$57)^7</f>
        <v>3.4656579616151362</v>
      </c>
      <c r="O57" s="1">
        <f>O15/(1+$B$57)^8</f>
        <v>3.612666918470651</v>
      </c>
      <c r="P57" s="1">
        <f>P15/(1+$B$57)^9</f>
        <v>3.5865826807921626</v>
      </c>
      <c r="Q57" s="1">
        <f>(R15/(B57-R12))/(1+B57)^10</f>
        <v>40.52120406507062</v>
      </c>
    </row>
    <row r="58" spans="1:17" ht="16.5" thickBot="1" x14ac:dyDescent="0.3">
      <c r="A58" s="25"/>
      <c r="C58" s="75"/>
      <c r="D58" s="76"/>
    </row>
    <row r="59" spans="1:17" x14ac:dyDescent="0.25">
      <c r="A59" s="67" t="s">
        <v>24</v>
      </c>
      <c r="B59" s="26"/>
      <c r="C59" s="78">
        <v>25</v>
      </c>
      <c r="D59" s="26"/>
      <c r="E59" s="27"/>
    </row>
    <row r="60" spans="1:17" x14ac:dyDescent="0.25">
      <c r="A60" s="28" t="s">
        <v>27</v>
      </c>
      <c r="B60" s="29"/>
      <c r="C60" s="79"/>
      <c r="D60" s="29"/>
      <c r="E60" s="30"/>
    </row>
    <row r="61" spans="1:17" x14ac:dyDescent="0.25">
      <c r="A61" s="28"/>
      <c r="B61" s="29"/>
      <c r="C61" s="79"/>
      <c r="D61" s="29"/>
      <c r="E61" s="30"/>
    </row>
    <row r="62" spans="1:17" x14ac:dyDescent="0.25">
      <c r="A62" s="28" t="s">
        <v>17</v>
      </c>
      <c r="B62" s="29"/>
      <c r="C62" s="79"/>
      <c r="D62" s="29"/>
      <c r="E62" s="68">
        <f>Q15*C59*1000</f>
        <v>243726.3331965</v>
      </c>
    </row>
    <row r="63" spans="1:17" x14ac:dyDescent="0.25">
      <c r="A63" s="28"/>
      <c r="B63" s="29"/>
      <c r="C63" s="79"/>
      <c r="D63" s="29"/>
      <c r="E63" s="30"/>
    </row>
    <row r="64" spans="1:17" x14ac:dyDescent="0.25">
      <c r="A64" s="28" t="s">
        <v>18</v>
      </c>
      <c r="B64" s="29"/>
      <c r="C64" s="80">
        <v>0</v>
      </c>
      <c r="D64" s="29"/>
      <c r="E64" s="30"/>
    </row>
    <row r="65" spans="1:5" x14ac:dyDescent="0.25">
      <c r="A65" s="28"/>
      <c r="B65" s="29"/>
      <c r="C65" s="29"/>
      <c r="D65" s="29"/>
      <c r="E65" s="30"/>
    </row>
    <row r="66" spans="1:5" x14ac:dyDescent="0.25">
      <c r="A66" s="28" t="s">
        <v>19</v>
      </c>
      <c r="B66" s="29"/>
      <c r="C66" s="29"/>
      <c r="D66" s="29"/>
      <c r="E66" s="68">
        <f>SUM(H15:R15)*C64*1000</f>
        <v>0</v>
      </c>
    </row>
    <row r="67" spans="1:5" x14ac:dyDescent="0.25">
      <c r="A67" s="28"/>
      <c r="B67" s="29"/>
      <c r="C67" s="29"/>
      <c r="D67" s="29"/>
      <c r="E67" s="69"/>
    </row>
    <row r="68" spans="1:5" x14ac:dyDescent="0.25">
      <c r="A68" s="70" t="s">
        <v>20</v>
      </c>
      <c r="B68" s="29"/>
      <c r="C68" s="29"/>
      <c r="D68" s="29"/>
      <c r="E68" s="71">
        <f>(E66*0.25)*-1</f>
        <v>0</v>
      </c>
    </row>
    <row r="69" spans="1:5" x14ac:dyDescent="0.25">
      <c r="A69" s="28"/>
      <c r="B69" s="29"/>
      <c r="C69" s="48"/>
      <c r="D69" s="48"/>
      <c r="E69" s="72"/>
    </row>
    <row r="70" spans="1:5" x14ac:dyDescent="0.25">
      <c r="A70" s="28" t="s">
        <v>21</v>
      </c>
      <c r="B70" s="29"/>
      <c r="C70" s="29"/>
      <c r="D70" s="29"/>
      <c r="E70" s="68">
        <f>SUM(E62:E68)</f>
        <v>243726.3331965</v>
      </c>
    </row>
    <row r="71" spans="1:5" x14ac:dyDescent="0.25">
      <c r="A71" s="28"/>
      <c r="B71" s="29"/>
      <c r="C71" s="29"/>
      <c r="D71" s="29"/>
      <c r="E71" s="68"/>
    </row>
    <row r="72" spans="1:5" x14ac:dyDescent="0.25">
      <c r="A72" s="28" t="s">
        <v>22</v>
      </c>
      <c r="B72" s="29"/>
      <c r="C72" s="29"/>
      <c r="D72" s="29"/>
      <c r="E72" s="72">
        <f>E70/C49-1</f>
        <v>2.063459514628514</v>
      </c>
    </row>
    <row r="73" spans="1:5" x14ac:dyDescent="0.25">
      <c r="A73" s="28"/>
      <c r="B73" s="29"/>
      <c r="C73" s="29"/>
      <c r="D73" s="29"/>
      <c r="E73" s="30"/>
    </row>
    <row r="74" spans="1:5" ht="16.5" thickBot="1" x14ac:dyDescent="0.3">
      <c r="A74" s="73" t="s">
        <v>23</v>
      </c>
      <c r="B74" s="74"/>
      <c r="C74" s="74"/>
      <c r="D74" s="74"/>
      <c r="E74" s="77">
        <f>(E70/C49)^(1/10)-1</f>
        <v>0.11846195131484594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Pessimisitsch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Christian Lämmle</cp:lastModifiedBy>
  <cp:lastPrinted>2021-08-03T18:16:56Z</cp:lastPrinted>
  <dcterms:created xsi:type="dcterms:W3CDTF">2020-02-09T06:30:31Z</dcterms:created>
  <dcterms:modified xsi:type="dcterms:W3CDTF">2022-02-17T08:06:14Z</dcterms:modified>
</cp:coreProperties>
</file>