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Sea/"/>
    </mc:Choice>
  </mc:AlternateContent>
  <xr:revisionPtr revIDLastSave="94" documentId="11_6453F8E0548C1614153197FCDB4D8A2332542B38" xr6:coauthVersionLast="47" xr6:coauthVersionMax="47" xr10:uidLastSave="{BEC35F56-BC6B-49C6-B37C-F098B5C94844}"/>
  <bookViews>
    <workbookView xWindow="-120" yWindow="-120" windowWidth="29040" windowHeight="15720" activeTab="1" xr2:uid="{00000000-000D-0000-FFFF-FFFF00000000}"/>
  </bookViews>
  <sheets>
    <sheet name="Pessimisitsch" sheetId="27" r:id="rId1"/>
    <sheet name="Optimistisch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7" l="1"/>
  <c r="J15" i="27"/>
  <c r="D50" i="27"/>
  <c r="C49" i="27"/>
  <c r="D46" i="27"/>
  <c r="C55" i="27" s="1"/>
  <c r="I31" i="27"/>
  <c r="I25" i="27"/>
  <c r="F16" i="27"/>
  <c r="G15" i="27"/>
  <c r="G16" i="27" s="1"/>
  <c r="G14" i="27"/>
  <c r="F13" i="27"/>
  <c r="G12" i="27"/>
  <c r="K15" i="25"/>
  <c r="I31" i="25"/>
  <c r="I25" i="25"/>
  <c r="J15" i="25" l="1"/>
  <c r="I15" i="25"/>
  <c r="H15" i="25"/>
  <c r="G15" i="25"/>
  <c r="F13" i="25"/>
  <c r="D46" i="25" l="1"/>
  <c r="C55" i="25" s="1"/>
  <c r="J57" i="25"/>
  <c r="I57" i="25"/>
  <c r="H57" i="25"/>
  <c r="G14" i="25"/>
  <c r="H14" i="25"/>
  <c r="I14" i="25"/>
  <c r="I16" i="25" s="1"/>
  <c r="J14" i="25"/>
  <c r="D50" i="25"/>
  <c r="C49" i="25"/>
  <c r="J12" i="25"/>
  <c r="I12" i="25"/>
  <c r="H12" i="25"/>
  <c r="G12" i="25"/>
  <c r="F16" i="25" l="1"/>
  <c r="G16" i="25"/>
  <c r="J19" i="25"/>
  <c r="I19" i="25"/>
  <c r="H16" i="25"/>
  <c r="J16" i="25"/>
  <c r="H19" i="25"/>
  <c r="K11" i="25" l="1"/>
  <c r="K14" i="25" s="1"/>
  <c r="L11" i="25" l="1"/>
  <c r="K57" i="25" l="1"/>
  <c r="K19" i="25"/>
  <c r="L14" i="25"/>
  <c r="L15" i="25" s="1"/>
  <c r="M11" i="25"/>
  <c r="L19" i="25" l="1"/>
  <c r="L57" i="25"/>
  <c r="M14" i="25"/>
  <c r="M15" i="25" s="1"/>
  <c r="N11" i="25"/>
  <c r="N14" i="25" l="1"/>
  <c r="N15" i="25" s="1"/>
  <c r="O11" i="25"/>
  <c r="M57" i="25"/>
  <c r="M19" i="25"/>
  <c r="P11" i="25" l="1"/>
  <c r="O14" i="25"/>
  <c r="O15" i="25" s="1"/>
  <c r="N57" i="25"/>
  <c r="N19" i="25"/>
  <c r="P14" i="25" l="1"/>
  <c r="P15" i="25" s="1"/>
  <c r="Q11" i="25"/>
  <c r="O57" i="25"/>
  <c r="O19" i="25"/>
  <c r="R11" i="25" l="1"/>
  <c r="R14" i="25" s="1"/>
  <c r="R15" i="25" s="1"/>
  <c r="Q14" i="25"/>
  <c r="Q15" i="25" s="1"/>
  <c r="P57" i="25"/>
  <c r="P19" i="25"/>
  <c r="D42" i="25"/>
  <c r="D43" i="25"/>
  <c r="D40" i="25"/>
  <c r="D44" i="25"/>
  <c r="E66" i="25"/>
  <c r="E68" i="25" s="1"/>
  <c r="D41" i="25"/>
  <c r="E62" i="25" l="1"/>
  <c r="E70" i="25" s="1"/>
  <c r="Q19" i="25"/>
  <c r="Q57" i="25"/>
  <c r="D57" i="25" s="1"/>
  <c r="R19" i="25"/>
  <c r="D49" i="25" l="1"/>
  <c r="D51" i="25" s="1"/>
  <c r="D52" i="25" s="1"/>
  <c r="E74" i="25"/>
  <c r="E72" i="25"/>
  <c r="D53" i="25" l="1"/>
  <c r="H15" i="27" l="1"/>
  <c r="H11" i="27"/>
  <c r="H14" i="27"/>
  <c r="H16" i="27" l="1"/>
  <c r="H19" i="27"/>
  <c r="H57" i="27"/>
  <c r="I11" i="27"/>
  <c r="I14" i="27" s="1"/>
  <c r="I15" i="27" l="1"/>
  <c r="I57" i="27" l="1"/>
  <c r="I19" i="27"/>
  <c r="I16" i="27"/>
  <c r="J11" i="27"/>
  <c r="K11" i="27" s="1"/>
  <c r="K14" i="27" l="1"/>
  <c r="L11" i="27"/>
  <c r="J14" i="27"/>
  <c r="J19" i="27" l="1"/>
  <c r="J57" i="27"/>
  <c r="J16" i="27"/>
  <c r="M11" i="27"/>
  <c r="L14" i="27"/>
  <c r="L15" i="27" s="1"/>
  <c r="K19" i="27"/>
  <c r="K57" i="27"/>
  <c r="M14" i="27" l="1"/>
  <c r="M15" i="27" s="1"/>
  <c r="N11" i="27"/>
  <c r="L19" i="27"/>
  <c r="L57" i="27"/>
  <c r="O11" i="27" l="1"/>
  <c r="N14" i="27"/>
  <c r="N15" i="27" s="1"/>
  <c r="M19" i="27"/>
  <c r="M57" i="27"/>
  <c r="N19" i="27" l="1"/>
  <c r="N57" i="27"/>
  <c r="P11" i="27"/>
  <c r="O14" i="27"/>
  <c r="O15" i="27" s="1"/>
  <c r="O57" i="27" l="1"/>
  <c r="O19" i="27"/>
  <c r="P14" i="27"/>
  <c r="P15" i="27" s="1"/>
  <c r="Q11" i="27"/>
  <c r="P19" i="27" l="1"/>
  <c r="P57" i="27"/>
  <c r="R11" i="27"/>
  <c r="R14" i="27" s="1"/>
  <c r="R15" i="27" s="1"/>
  <c r="Q14" i="27"/>
  <c r="Q15" i="27" s="1"/>
  <c r="D42" i="27"/>
  <c r="E66" i="27" l="1"/>
  <c r="E68" i="27" s="1"/>
  <c r="E62" i="27"/>
  <c r="Q19" i="27"/>
  <c r="D43" i="27"/>
  <c r="R19" i="27"/>
  <c r="Q57" i="27"/>
  <c r="D57" i="27" s="1"/>
  <c r="D40" i="27"/>
  <c r="D41" i="27"/>
  <c r="D44" i="27"/>
  <c r="E70" i="27" l="1"/>
  <c r="E72" i="27" s="1"/>
  <c r="D49" i="27"/>
  <c r="D51" i="27" s="1"/>
  <c r="D53" i="27" s="1"/>
  <c r="E74" i="27" l="1"/>
  <c r="D52" i="27"/>
</calcChain>
</file>

<file path=xl/sharedStrings.xml><?xml version="1.0" encoding="utf-8"?>
<sst xmlns="http://schemas.openxmlformats.org/spreadsheetml/2006/main" count="100" uniqueCount="49">
  <si>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</si>
  <si>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</si>
  <si>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</si>
  <si>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</si>
  <si>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</si>
  <si>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</si>
  <si>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</si>
  <si>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</si>
  <si>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</si>
  <si>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</si>
  <si>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</si>
  <si>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</si>
  <si>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</si>
  <si>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</si>
  <si>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</si>
  <si>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</si>
  <si>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</si>
  <si>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</si>
  <si>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</si>
  <si>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</si>
  <si>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</si>
  <si>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</si>
  <si>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</si>
  <si>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</si>
  <si>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</si>
  <si>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</si>
  <si>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</si>
  <si>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</si>
  <si>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USD</t>
  </si>
  <si>
    <t xml:space="preserve">Alle Angaben in Mrd. </t>
  </si>
  <si>
    <t>Nullzinsmarkterwartung:</t>
  </si>
  <si>
    <t>Abgezinster Gewinn in Mrd. USD:</t>
  </si>
  <si>
    <t>(ab 2024)</t>
  </si>
  <si>
    <t xml:space="preserve">Gewinn </t>
  </si>
  <si>
    <t>2032ff.</t>
  </si>
  <si>
    <t>25 % Abschlag vom EBIT für Zins und Steuern</t>
  </si>
  <si>
    <t>Eigenkapitalverzinsung</t>
  </si>
  <si>
    <t>Risikoloser Basiszins:</t>
  </si>
  <si>
    <t>rF</t>
  </si>
  <si>
    <t>Risikoprämie:</t>
  </si>
  <si>
    <t>Marktrendite:</t>
  </si>
  <si>
    <t>rM</t>
  </si>
  <si>
    <t>Beta Faktor (Consumer Services):</t>
  </si>
  <si>
    <t>ß</t>
  </si>
  <si>
    <t xml:space="preserve">Eigenkapitalkosten: </t>
  </si>
  <si>
    <t>rE</t>
  </si>
  <si>
    <t>Negatives EK</t>
  </si>
  <si>
    <t>Gerundet inkl. Zuschlag</t>
  </si>
  <si>
    <t>Optimistische Annahmen für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</si>
</sst>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10" fontId="0" fillId="8" borderId="0" xfId="0" applyNumberFormat="1" applyFill="1"/>
    <xf numFmtId="4" fontId="1" fillId="8" borderId="0" xfId="1" applyNumberFormat="1" applyFont="1" applyFill="1"/>
    <xf numFmtId="0" fontId="0" fillId="2" borderId="0" xfId="0" quotePrefix="1" applyFill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</cellXfs>
  <cellStyles count="3">
    <cellStyle name="Prozent" xfId="1" builtinId="5"/>
    <cellStyle name="Prozent 2" xfId="2" xr:uid="{00000000-0005-0000-0000-000001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169334</xdr:colOff>
      <xdr:row>22</xdr:row>
      <xdr:rowOff>21166</xdr:rowOff>
    </xdr:from>
    <xdr:to>
      <xdr:col>14</xdr:col>
      <xdr:colOff>482233</xdr:colOff>
      <xdr:row>29</xdr:row>
      <xdr:rowOff>3591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2359" y="4812241"/>
          <a:ext cx="3551399" cy="13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1D34A2E0-AFE7-4A34-96FD-2086D5A4675A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154E6978-5B80-4453-A37D-505233416E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169334</xdr:colOff>
      <xdr:row>22</xdr:row>
      <xdr:rowOff>21166</xdr:rowOff>
    </xdr:from>
    <xdr:to>
      <xdr:col>14</xdr:col>
      <xdr:colOff>482233</xdr:colOff>
      <xdr:row>29</xdr:row>
      <xdr:rowOff>3591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B49E9B0-77A1-4E22-B012-A5BEA4EF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3417" y="4847166"/>
          <a:ext cx="3572566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21AC-1AA1-410A-BA8C-FC8DDA048C1A}">
  <dimension ref="A2:AB74"/>
  <sheetViews>
    <sheetView topLeftCell="A2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48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29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34</v>
      </c>
    </row>
    <row r="11" spans="1:28" x14ac:dyDescent="0.25">
      <c r="A11" s="5"/>
      <c r="B11" s="4" t="s">
        <v>4</v>
      </c>
      <c r="C11" s="84"/>
      <c r="D11" s="84"/>
      <c r="E11" s="84"/>
      <c r="F11" s="84">
        <v>4.375</v>
      </c>
      <c r="G11" s="84">
        <v>9.7070000000000007</v>
      </c>
      <c r="H11" s="86">
        <f t="shared" ref="H11:J11" si="0">G11*(1+H12)</f>
        <v>13.5898</v>
      </c>
      <c r="I11" s="86">
        <f t="shared" si="0"/>
        <v>18.074434</v>
      </c>
      <c r="J11" s="86">
        <f t="shared" si="0"/>
        <v>23.496764200000001</v>
      </c>
      <c r="K11" s="86">
        <f>J11*(1+K12)</f>
        <v>28.196117040000001</v>
      </c>
      <c r="L11" s="86">
        <f>K11*(1+L12)</f>
        <v>31.015728744000004</v>
      </c>
      <c r="M11" s="86">
        <f t="shared" ref="M11:R11" si="1">L11*(1+M12)</f>
        <v>34.117301618400006</v>
      </c>
      <c r="N11" s="86">
        <f t="shared" si="1"/>
        <v>37.529031780240011</v>
      </c>
      <c r="O11" s="86">
        <f t="shared" si="1"/>
        <v>41.281934958264017</v>
      </c>
      <c r="P11" s="86">
        <f t="shared" si="1"/>
        <v>45.410128454090426</v>
      </c>
      <c r="Q11" s="86">
        <f t="shared" si="1"/>
        <v>49.04293873041766</v>
      </c>
      <c r="R11" s="86">
        <f t="shared" si="1"/>
        <v>50.023797505026018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 t="shared" ref="G12" si="2">G11/F11-1</f>
        <v>1.2187428571428573</v>
      </c>
      <c r="H12" s="63">
        <v>0.4</v>
      </c>
      <c r="I12" s="63">
        <v>0.33</v>
      </c>
      <c r="J12" s="63">
        <v>0.3</v>
      </c>
      <c r="K12" s="63">
        <v>0.2</v>
      </c>
      <c r="L12" s="63">
        <v>0.1</v>
      </c>
      <c r="M12" s="63">
        <v>0.1</v>
      </c>
      <c r="N12" s="63">
        <v>0.1</v>
      </c>
      <c r="O12" s="63">
        <v>0.1</v>
      </c>
      <c r="P12" s="63">
        <v>0.1</v>
      </c>
      <c r="Q12" s="63">
        <v>0.08</v>
      </c>
      <c r="R12" s="14">
        <v>0.02</v>
      </c>
    </row>
    <row r="13" spans="1:28" ht="15.95" customHeight="1" x14ac:dyDescent="0.25">
      <c r="A13" s="5"/>
      <c r="B13" s="4" t="s">
        <v>15</v>
      </c>
      <c r="C13" s="12"/>
      <c r="D13" s="12"/>
      <c r="E13" s="12"/>
      <c r="F13" s="12">
        <f>F14/F11</f>
        <v>-0.29782857142857139</v>
      </c>
      <c r="G13" s="12">
        <v>-0.15329999999999999</v>
      </c>
      <c r="H13" s="83">
        <v>-0.12</v>
      </c>
      <c r="I13" s="83">
        <v>-0.05</v>
      </c>
      <c r="J13" s="83">
        <v>0.05</v>
      </c>
      <c r="K13" s="83">
        <v>0.1</v>
      </c>
      <c r="L13" s="83">
        <v>0.15</v>
      </c>
      <c r="M13" s="83">
        <v>0.18</v>
      </c>
      <c r="N13" s="83">
        <v>0.18</v>
      </c>
      <c r="O13" s="83">
        <v>0.18</v>
      </c>
      <c r="P13" s="83">
        <v>0.18</v>
      </c>
      <c r="Q13" s="83">
        <v>0.18</v>
      </c>
      <c r="R13" s="83">
        <v>0.18</v>
      </c>
    </row>
    <row r="14" spans="1:28" ht="17.100000000000001" customHeight="1" x14ac:dyDescent="0.25">
      <c r="A14" s="5"/>
      <c r="B14" s="4" t="s">
        <v>16</v>
      </c>
      <c r="C14" s="84"/>
      <c r="D14" s="84"/>
      <c r="E14" s="84"/>
      <c r="F14" s="84">
        <v>-1.3029999999999999</v>
      </c>
      <c r="G14" s="84">
        <f>G11*G13</f>
        <v>-1.4880831000000001</v>
      </c>
      <c r="H14" s="86">
        <f t="shared" ref="H14:J14" si="3">H11*H13</f>
        <v>-1.630776</v>
      </c>
      <c r="I14" s="86">
        <f t="shared" si="3"/>
        <v>-0.90372170000000007</v>
      </c>
      <c r="J14" s="86">
        <f t="shared" si="3"/>
        <v>1.1748382100000001</v>
      </c>
      <c r="K14" s="86">
        <f>K11*K13</f>
        <v>2.8196117040000002</v>
      </c>
      <c r="L14" s="86">
        <f t="shared" ref="L14:R14" si="4">L11*L13</f>
        <v>4.6523593116000006</v>
      </c>
      <c r="M14" s="86">
        <f t="shared" si="4"/>
        <v>6.1411142913120011</v>
      </c>
      <c r="N14" s="86">
        <f t="shared" si="4"/>
        <v>6.7552257204432014</v>
      </c>
      <c r="O14" s="86">
        <f>O11*O13</f>
        <v>7.4307482924875226</v>
      </c>
      <c r="P14" s="86">
        <f t="shared" si="4"/>
        <v>8.1738231217362767</v>
      </c>
      <c r="Q14" s="86">
        <f t="shared" si="4"/>
        <v>8.8277289714751781</v>
      </c>
      <c r="R14" s="86">
        <f t="shared" si="4"/>
        <v>9.0042835509046828</v>
      </c>
    </row>
    <row r="15" spans="1:28" ht="16.5" thickBot="1" x14ac:dyDescent="0.3">
      <c r="A15" s="13">
        <v>0.25</v>
      </c>
      <c r="B15" s="4" t="s">
        <v>33</v>
      </c>
      <c r="C15" s="85"/>
      <c r="D15" s="84"/>
      <c r="E15" s="84"/>
      <c r="F15" s="84">
        <v>-1.6180000000000001</v>
      </c>
      <c r="G15" s="84">
        <f>G11*-0.1655</f>
        <v>-1.6065085000000001</v>
      </c>
      <c r="H15" s="86">
        <f>H11*-0.0988</f>
        <v>-1.34267224</v>
      </c>
      <c r="I15" s="86">
        <f>I11*-0.0196</f>
        <v>-0.35425890640000002</v>
      </c>
      <c r="J15" s="86">
        <f>J11*0.035</f>
        <v>0.82238674700000014</v>
      </c>
      <c r="K15" s="86">
        <f t="shared" ref="K15:Q15" si="5">K14*(1-$A$15)</f>
        <v>2.1147087780000002</v>
      </c>
      <c r="L15" s="86">
        <f t="shared" si="5"/>
        <v>3.4892694837000002</v>
      </c>
      <c r="M15" s="86">
        <f t="shared" si="5"/>
        <v>4.6058357184840011</v>
      </c>
      <c r="N15" s="86">
        <f t="shared" si="5"/>
        <v>5.0664192903324015</v>
      </c>
      <c r="O15" s="86">
        <f t="shared" si="5"/>
        <v>5.5730612193656421</v>
      </c>
      <c r="P15" s="86">
        <f t="shared" si="5"/>
        <v>6.1303673413022075</v>
      </c>
      <c r="Q15" s="86">
        <f t="shared" si="5"/>
        <v>6.6207967286063836</v>
      </c>
      <c r="R15" s="86">
        <f>R14*(1-$A$15)</f>
        <v>6.7532126631785125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6">F15/F14</f>
        <v>1.2417498081350731</v>
      </c>
      <c r="G16" s="17">
        <f t="shared" si="6"/>
        <v>1.0795825179386824</v>
      </c>
      <c r="H16" s="17">
        <f t="shared" si="6"/>
        <v>0.82333333333333336</v>
      </c>
      <c r="I16" s="17">
        <f t="shared" si="6"/>
        <v>0.39200000000000002</v>
      </c>
      <c r="J16" s="17">
        <f t="shared" si="6"/>
        <v>0.70000000000000007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-1.237485935483871</v>
      </c>
      <c r="I19" s="59">
        <f>I15/(1+$C$55)^2</f>
        <v>-0.30092710093652447</v>
      </c>
      <c r="J19" s="59">
        <f>J15/(1+$C$55)^3</f>
        <v>0.64385324426840329</v>
      </c>
      <c r="K19" s="59">
        <f>K15/(1+$C$55)^4</f>
        <v>1.5259194729205083</v>
      </c>
      <c r="L19" s="59">
        <f>L15/(1+$C$55)^5</f>
        <v>2.3205227007546898</v>
      </c>
      <c r="M19" s="59">
        <f>M15/(1+$C$55)^6</f>
        <v>2.8231243917015592</v>
      </c>
      <c r="N19" s="59">
        <f>N15/(1+$C$55)^7</f>
        <v>2.8621537611720873</v>
      </c>
      <c r="O19" s="59">
        <f>O15/(1+$C$55)^8</f>
        <v>2.9017227071790752</v>
      </c>
      <c r="P19" s="59">
        <f>P15/(1+$C$55)^9</f>
        <v>2.9418386893059756</v>
      </c>
      <c r="Q19" s="59">
        <f>Q15/(1+$C$55)^10</f>
        <v>2.9282818289865928</v>
      </c>
      <c r="R19" s="60">
        <f>(R15/(C55-R12))/(1+C55)^10</f>
        <v>45.951499470251157</v>
      </c>
    </row>
    <row r="20" spans="1:18" x14ac:dyDescent="0.25">
      <c r="A20" s="2"/>
      <c r="C20" s="89" t="s">
        <v>35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36</v>
      </c>
      <c r="B23" s="37"/>
      <c r="C23" s="37"/>
      <c r="D23" s="38"/>
      <c r="E23" s="26"/>
      <c r="F23" s="37"/>
      <c r="G23" s="67" t="s">
        <v>37</v>
      </c>
      <c r="H23" s="26"/>
      <c r="I23" s="93">
        <v>1E-3</v>
      </c>
      <c r="J23" s="27" t="s">
        <v>38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39</v>
      </c>
      <c r="H25" s="29"/>
      <c r="I25" s="95">
        <f>(I27-I23)*I29</f>
        <v>7.8659999999999994E-2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40</v>
      </c>
      <c r="H27" s="29"/>
      <c r="I27" s="96">
        <v>7.0000000000000007E-2</v>
      </c>
      <c r="J27" s="30" t="s">
        <v>41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42</v>
      </c>
      <c r="H29" s="29"/>
      <c r="I29" s="94">
        <v>1.1399999999999999</v>
      </c>
      <c r="J29" s="30" t="s">
        <v>43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44</v>
      </c>
      <c r="H31" s="29"/>
      <c r="I31" s="96">
        <f>I23+(I27-I23)*I29</f>
        <v>7.9659999999999995E-2</v>
      </c>
      <c r="J31" s="30" t="s">
        <v>45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 t="s">
        <v>47</v>
      </c>
      <c r="H33" s="91"/>
      <c r="I33" s="92">
        <v>8.5000000000000006E-2</v>
      </c>
      <c r="J33" s="30"/>
    </row>
    <row r="34" spans="1:10" x14ac:dyDescent="0.25">
      <c r="A34" s="39" t="s">
        <v>7</v>
      </c>
      <c r="B34" s="40" t="s">
        <v>46</v>
      </c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8.5000000000000006E-2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44606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79559.18204</v>
      </c>
      <c r="D49" s="53">
        <f>SUM(H19:R19)*1000</f>
        <v>63360.503230119648</v>
      </c>
      <c r="E49" s="51" t="s">
        <v>28</v>
      </c>
    </row>
    <row r="50" spans="1:17" x14ac:dyDescent="0.25">
      <c r="A50" s="50"/>
      <c r="B50" s="51" t="s">
        <v>11</v>
      </c>
      <c r="C50" s="52">
        <v>561.93799999999999</v>
      </c>
      <c r="D50" s="52">
        <f>C50</f>
        <v>561.93799999999999</v>
      </c>
      <c r="E50" s="51"/>
    </row>
    <row r="51" spans="1:17" x14ac:dyDescent="0.25">
      <c r="A51" s="50"/>
      <c r="B51" s="51" t="s">
        <v>13</v>
      </c>
      <c r="C51" s="64">
        <v>141.58000000000001</v>
      </c>
      <c r="D51" s="64">
        <f>D49/(D50)</f>
        <v>112.75354795390176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</f>
        <v>0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0.25565893552089092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8.5000000000000006E-2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30</v>
      </c>
      <c r="B57" s="87">
        <v>0.108</v>
      </c>
      <c r="C57" s="56"/>
      <c r="D57" s="88">
        <f>SUM(H57:Q57)*1000</f>
        <v>39965.353351323036</v>
      </c>
      <c r="E57" s="51"/>
      <c r="F57" s="1" t="s">
        <v>31</v>
      </c>
      <c r="H57" s="1">
        <f>H15/(1+$B$57)</f>
        <v>-1.211798050541516</v>
      </c>
      <c r="I57" s="1">
        <f>I15/(1+$B$57)^2</f>
        <v>-0.28856340692567339</v>
      </c>
      <c r="J57" s="1">
        <f>J15/(1+$B$57)^3</f>
        <v>0.60458423962637875</v>
      </c>
      <c r="K57" s="1">
        <f>K15/(1+$B$57)^4</f>
        <v>1.4031093750998986</v>
      </c>
      <c r="L57" s="1">
        <f>L15/(1+$B$57)^5</f>
        <v>2.0894679322336032</v>
      </c>
      <c r="M57" s="1">
        <f>M15/(1+$B$57)^6</f>
        <v>2.4892578254046538</v>
      </c>
      <c r="N57" s="1">
        <f>N15/(1+$B$57)^7</f>
        <v>2.4712848447158118</v>
      </c>
      <c r="O57" s="1">
        <f>O15/(1+$B$57)^8</f>
        <v>2.4534416328406063</v>
      </c>
      <c r="P57" s="1">
        <f>P15/(1+$B$57)^9</f>
        <v>2.4357272528200968</v>
      </c>
      <c r="Q57" s="1">
        <f>(R15/(B57-R12))/(1+B57)^10</f>
        <v>27.518841706049177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23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Q15*C59*1000</f>
        <v>152278.32475794683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0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0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152278.32475794683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0.91402577117228034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6.7074589567482246E-2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abSelected="1" topLeftCell="A19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48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29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34</v>
      </c>
    </row>
    <row r="11" spans="1:28" x14ac:dyDescent="0.25">
      <c r="A11" s="5"/>
      <c r="B11" s="4" t="s">
        <v>4</v>
      </c>
      <c r="C11" s="84"/>
      <c r="D11" s="84"/>
      <c r="E11" s="84"/>
      <c r="F11" s="84">
        <v>4.375</v>
      </c>
      <c r="G11" s="84">
        <v>9.7070000000000007</v>
      </c>
      <c r="H11" s="86">
        <v>14.347</v>
      </c>
      <c r="I11" s="86">
        <v>19.449000000000002</v>
      </c>
      <c r="J11" s="86">
        <v>27.231999999999999</v>
      </c>
      <c r="K11" s="86">
        <f>J11*(1+K12)</f>
        <v>34.04</v>
      </c>
      <c r="L11" s="86">
        <f>K11*(1+L12)</f>
        <v>39.145999999999994</v>
      </c>
      <c r="M11" s="86">
        <f t="shared" ref="M11:R11" si="0">L11*(1+M12)</f>
        <v>43.060599999999994</v>
      </c>
      <c r="N11" s="86">
        <f t="shared" si="0"/>
        <v>47.366659999999996</v>
      </c>
      <c r="O11" s="86">
        <f t="shared" si="0"/>
        <v>52.103326000000003</v>
      </c>
      <c r="P11" s="86">
        <f t="shared" si="0"/>
        <v>57.313658600000011</v>
      </c>
      <c r="Q11" s="86">
        <f t="shared" si="0"/>
        <v>61.898751288000014</v>
      </c>
      <c r="R11" s="86">
        <f t="shared" si="0"/>
        <v>63.136726313760015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 t="shared" ref="G12:J12" si="1">G11/F11-1</f>
        <v>1.2187428571428573</v>
      </c>
      <c r="H12" s="63">
        <f t="shared" si="1"/>
        <v>0.47800556299577601</v>
      </c>
      <c r="I12" s="63">
        <f t="shared" si="1"/>
        <v>0.3556144141632398</v>
      </c>
      <c r="J12" s="63">
        <f t="shared" si="1"/>
        <v>0.40017481618592199</v>
      </c>
      <c r="K12" s="63">
        <v>0.25</v>
      </c>
      <c r="L12" s="63">
        <v>0.15</v>
      </c>
      <c r="M12" s="63">
        <v>0.1</v>
      </c>
      <c r="N12" s="63">
        <v>0.1</v>
      </c>
      <c r="O12" s="63">
        <v>0.1</v>
      </c>
      <c r="P12" s="63">
        <v>0.1</v>
      </c>
      <c r="Q12" s="63">
        <v>0.08</v>
      </c>
      <c r="R12" s="14">
        <v>0.02</v>
      </c>
    </row>
    <row r="13" spans="1:28" ht="15.95" customHeight="1" x14ac:dyDescent="0.25">
      <c r="A13" s="5"/>
      <c r="B13" s="4" t="s">
        <v>15</v>
      </c>
      <c r="C13" s="12"/>
      <c r="D13" s="12"/>
      <c r="E13" s="12"/>
      <c r="F13" s="12">
        <f>F14/F11</f>
        <v>-0.29782857142857139</v>
      </c>
      <c r="G13" s="12">
        <v>-0.15329999999999999</v>
      </c>
      <c r="H13" s="83">
        <v>-8.7900000000000006E-2</v>
      </c>
      <c r="I13" s="83">
        <v>-1.4E-2</v>
      </c>
      <c r="J13" s="83">
        <v>0.15529999999999999</v>
      </c>
      <c r="K13" s="83">
        <v>0.2</v>
      </c>
      <c r="L13" s="83">
        <v>0.2</v>
      </c>
      <c r="M13" s="83">
        <v>0.2</v>
      </c>
      <c r="N13" s="83">
        <v>0.2</v>
      </c>
      <c r="O13" s="83">
        <v>0.21</v>
      </c>
      <c r="P13" s="83">
        <v>0.21</v>
      </c>
      <c r="Q13" s="83">
        <v>0.21</v>
      </c>
      <c r="R13" s="83">
        <v>0.21</v>
      </c>
    </row>
    <row r="14" spans="1:28" ht="17.100000000000001" customHeight="1" x14ac:dyDescent="0.25">
      <c r="A14" s="5"/>
      <c r="B14" s="4" t="s">
        <v>16</v>
      </c>
      <c r="C14" s="84"/>
      <c r="D14" s="84"/>
      <c r="E14" s="84"/>
      <c r="F14" s="84">
        <v>-1.3029999999999999</v>
      </c>
      <c r="G14" s="84">
        <f>G11*G13</f>
        <v>-1.4880831000000001</v>
      </c>
      <c r="H14" s="86">
        <f t="shared" ref="H14:J14" si="2">H11*H13</f>
        <v>-1.2611013</v>
      </c>
      <c r="I14" s="86">
        <f t="shared" si="2"/>
        <v>-0.27228600000000003</v>
      </c>
      <c r="J14" s="86">
        <f t="shared" si="2"/>
        <v>4.2291295999999994</v>
      </c>
      <c r="K14" s="86">
        <f>K11*K13</f>
        <v>6.8079999999999998</v>
      </c>
      <c r="L14" s="86">
        <f t="shared" ref="L14:R14" si="3">L11*L13</f>
        <v>7.8291999999999993</v>
      </c>
      <c r="M14" s="86">
        <f t="shared" si="3"/>
        <v>8.6121199999999991</v>
      </c>
      <c r="N14" s="86">
        <f t="shared" si="3"/>
        <v>9.4733319999999992</v>
      </c>
      <c r="O14" s="86">
        <f>O11*O13</f>
        <v>10.94169846</v>
      </c>
      <c r="P14" s="86">
        <f t="shared" si="3"/>
        <v>12.035868306000001</v>
      </c>
      <c r="Q14" s="86">
        <f t="shared" si="3"/>
        <v>12.998737770480002</v>
      </c>
      <c r="R14" s="86">
        <f t="shared" si="3"/>
        <v>13.258712525889603</v>
      </c>
    </row>
    <row r="15" spans="1:28" ht="16.5" thickBot="1" x14ac:dyDescent="0.3">
      <c r="A15" s="13">
        <v>0.25</v>
      </c>
      <c r="B15" s="4" t="s">
        <v>33</v>
      </c>
      <c r="C15" s="85"/>
      <c r="D15" s="84"/>
      <c r="E15" s="84"/>
      <c r="F15" s="84">
        <v>-1.6180000000000001</v>
      </c>
      <c r="G15" s="84">
        <f>G11*-0.1655</f>
        <v>-1.6065085000000001</v>
      </c>
      <c r="H15" s="86">
        <f>H11*-0.0988</f>
        <v>-1.4174836</v>
      </c>
      <c r="I15" s="86">
        <f>I11*-0.0196</f>
        <v>-0.38120039999999999</v>
      </c>
      <c r="J15" s="86">
        <f>J11*0.1499</f>
        <v>4.0820768000000003</v>
      </c>
      <c r="K15" s="86">
        <f>K11*0.186</f>
        <v>6.3314399999999997</v>
      </c>
      <c r="L15" s="86">
        <f t="shared" ref="L15:Q15" si="4">L14*(1-$A$15)</f>
        <v>5.8718999999999992</v>
      </c>
      <c r="M15" s="86">
        <f t="shared" si="4"/>
        <v>6.4590899999999998</v>
      </c>
      <c r="N15" s="86">
        <f t="shared" si="4"/>
        <v>7.1049989999999994</v>
      </c>
      <c r="O15" s="86">
        <f t="shared" si="4"/>
        <v>8.2062738450000001</v>
      </c>
      <c r="P15" s="86">
        <f t="shared" si="4"/>
        <v>9.0269012295000017</v>
      </c>
      <c r="Q15" s="86">
        <f t="shared" si="4"/>
        <v>9.7490533278600005</v>
      </c>
      <c r="R15" s="86">
        <f>R14*(1-$A$15)</f>
        <v>9.9440343944172014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5">F15/F14</f>
        <v>1.2417498081350731</v>
      </c>
      <c r="G16" s="17">
        <f t="shared" si="5"/>
        <v>1.0795825179386824</v>
      </c>
      <c r="H16" s="17">
        <f t="shared" si="5"/>
        <v>1.124004550625711</v>
      </c>
      <c r="I16" s="17">
        <f t="shared" si="5"/>
        <v>1.4</v>
      </c>
      <c r="J16" s="17">
        <f t="shared" si="5"/>
        <v>0.96522858982614312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-1.3064364976958525</v>
      </c>
      <c r="I19" s="59">
        <f>I15/(1+$C$55)^2</f>
        <v>-0.32381269510926119</v>
      </c>
      <c r="J19" s="59">
        <f>J15/(1+$C$55)^3</f>
        <v>3.1958909851361965</v>
      </c>
      <c r="K19" s="59">
        <f>K15/(1+$C$55)^4</f>
        <v>4.5686042863854901</v>
      </c>
      <c r="L19" s="59">
        <f>L15/(1+$C$55)^5</f>
        <v>3.9050802210073683</v>
      </c>
      <c r="M19" s="59">
        <f>M15/(1+$C$55)^6</f>
        <v>3.9590675051687607</v>
      </c>
      <c r="N19" s="59">
        <f>N15/(1+$C$55)^7</f>
        <v>4.0138011573139503</v>
      </c>
      <c r="O19" s="59">
        <f>O15/(1+$C$55)^8</f>
        <v>4.2727560706890451</v>
      </c>
      <c r="P19" s="59">
        <f>P15/(1+$C$55)^9</f>
        <v>4.3318264311133188</v>
      </c>
      <c r="Q19" s="59">
        <f>Q15/(1+$C$55)^10</f>
        <v>4.3118640973293854</v>
      </c>
      <c r="R19" s="60">
        <f>(R15/(C55-R12))/(1+C55)^10</f>
        <v>67.663098142707284</v>
      </c>
    </row>
    <row r="20" spans="1:18" x14ac:dyDescent="0.25">
      <c r="A20" s="2"/>
      <c r="C20" s="89" t="s">
        <v>35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36</v>
      </c>
      <c r="B23" s="37"/>
      <c r="C23" s="37"/>
      <c r="D23" s="38"/>
      <c r="E23" s="26"/>
      <c r="F23" s="37"/>
      <c r="G23" s="67" t="s">
        <v>37</v>
      </c>
      <c r="H23" s="26"/>
      <c r="I23" s="93">
        <v>1E-3</v>
      </c>
      <c r="J23" s="27" t="s">
        <v>38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39</v>
      </c>
      <c r="H25" s="29"/>
      <c r="I25" s="95">
        <f>(I27-I23)*I29</f>
        <v>7.8659999999999994E-2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40</v>
      </c>
      <c r="H27" s="29"/>
      <c r="I27" s="96">
        <v>7.0000000000000007E-2</v>
      </c>
      <c r="J27" s="30" t="s">
        <v>41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42</v>
      </c>
      <c r="H29" s="29"/>
      <c r="I29" s="94">
        <v>1.1399999999999999</v>
      </c>
      <c r="J29" s="30" t="s">
        <v>43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44</v>
      </c>
      <c r="H31" s="29"/>
      <c r="I31" s="96">
        <f>I23+(I27-I23)*I29</f>
        <v>7.9659999999999995E-2</v>
      </c>
      <c r="J31" s="30" t="s">
        <v>45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 t="s">
        <v>47</v>
      </c>
      <c r="H33" s="91"/>
      <c r="I33" s="92">
        <v>8.5000000000000006E-2</v>
      </c>
      <c r="J33" s="30"/>
    </row>
    <row r="34" spans="1:10" x14ac:dyDescent="0.25">
      <c r="A34" s="39" t="s">
        <v>7</v>
      </c>
      <c r="B34" s="40" t="s">
        <v>46</v>
      </c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8.5000000000000006E-2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44606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79559.18204</v>
      </c>
      <c r="D49" s="53">
        <f>SUM(H19:R19)*1000</f>
        <v>98591.7397040457</v>
      </c>
      <c r="E49" s="51" t="s">
        <v>28</v>
      </c>
    </row>
    <row r="50" spans="1:17" x14ac:dyDescent="0.25">
      <c r="A50" s="50"/>
      <c r="B50" s="51" t="s">
        <v>11</v>
      </c>
      <c r="C50" s="52">
        <v>561.93799999999999</v>
      </c>
      <c r="D50" s="52">
        <f>C50</f>
        <v>561.93799999999999</v>
      </c>
      <c r="E50" s="51"/>
    </row>
    <row r="51" spans="1:17" x14ac:dyDescent="0.25">
      <c r="A51" s="50"/>
      <c r="B51" s="51" t="s">
        <v>13</v>
      </c>
      <c r="C51" s="64">
        <v>141.58000000000001</v>
      </c>
      <c r="D51" s="64">
        <f>D49/(D50)</f>
        <v>175.44949746065527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</f>
        <v>-0.19304414062656705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0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8.5000000000000006E-2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30</v>
      </c>
      <c r="B57" s="87">
        <v>0.108</v>
      </c>
      <c r="C57" s="56"/>
      <c r="D57" s="88">
        <f>SUM(H57:Q57)*1000</f>
        <v>63805.281519184515</v>
      </c>
      <c r="E57" s="51"/>
      <c r="F57" s="1" t="s">
        <v>31</v>
      </c>
      <c r="H57" s="1">
        <f>H15/(1+$B$57)</f>
        <v>-1.2793173285198554</v>
      </c>
      <c r="I57" s="1">
        <f>I15/(1+$B$57)^2</f>
        <v>-0.31050873854735489</v>
      </c>
      <c r="J57" s="1">
        <f>J15/(1+$B$57)^3</f>
        <v>3.000971631932781</v>
      </c>
      <c r="K57" s="1">
        <f>K15/(1+$B$57)^4</f>
        <v>4.200910742085405</v>
      </c>
      <c r="L57" s="1">
        <f>L15/(1+$B$57)^5</f>
        <v>3.5162508394944503</v>
      </c>
      <c r="M57" s="1">
        <f>M15/(1+$B$57)^6</f>
        <v>3.4908627467905196</v>
      </c>
      <c r="N57" s="1">
        <f>N15/(1+$B$57)^7</f>
        <v>3.4656579616151362</v>
      </c>
      <c r="O57" s="1">
        <f>O15/(1+$B$57)^8</f>
        <v>3.612666918470651</v>
      </c>
      <c r="P57" s="1">
        <f>P15/(1+$B$57)^9</f>
        <v>3.5865826807921626</v>
      </c>
      <c r="Q57" s="1">
        <f>(R15/(B57-R12))/(1+B57)^10</f>
        <v>40.52120406507062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25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Q15*C59*1000</f>
        <v>243726.3331965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0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0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243726.3331965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2.063459514628514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0.11846195131484594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Pessimisitsch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2022-02-17T08:06:14Z</dcterms:modified>
</cp:coreProperties>
</file>