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Aktienanalysen\Starbucks\"/>
    </mc:Choice>
  </mc:AlternateContent>
  <bookViews>
    <workbookView xWindow="-120" yWindow="-120" windowWidth="29040" windowHeight="15720" activeTab="1"/>
  </bookViews>
  <sheets>
    <sheet name="Pessimistisch" sheetId="26" r:id="rId1"/>
    <sheet name="Optimistisch" sheetId="2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26" l="1"/>
  <c r="I25" i="26"/>
  <c r="I31" i="25"/>
  <c r="I25" i="25"/>
  <c r="D50" i="26" l="1"/>
  <c r="C49" i="26"/>
  <c r="D46" i="26"/>
  <c r="C55" i="26" s="1"/>
  <c r="G16" i="26"/>
  <c r="H15" i="26"/>
  <c r="H57" i="26" s="1"/>
  <c r="G15" i="26"/>
  <c r="F15" i="26"/>
  <c r="F16" i="26" s="1"/>
  <c r="H14" i="26"/>
  <c r="G14" i="26"/>
  <c r="F14" i="26"/>
  <c r="H12" i="26"/>
  <c r="G12" i="26"/>
  <c r="D46" i="25"/>
  <c r="C55" i="25" s="1"/>
  <c r="K15" i="25"/>
  <c r="K57" i="25" s="1"/>
  <c r="K12" i="25"/>
  <c r="J15" i="25"/>
  <c r="J57" i="25" s="1"/>
  <c r="I15" i="25"/>
  <c r="I57" i="25" s="1"/>
  <c r="H15" i="25"/>
  <c r="F14" i="25"/>
  <c r="F15" i="25"/>
  <c r="G15" i="25"/>
  <c r="G14" i="25"/>
  <c r="H14" i="25"/>
  <c r="I14" i="25"/>
  <c r="I16" i="25" s="1"/>
  <c r="J14" i="25"/>
  <c r="D50" i="25"/>
  <c r="C49" i="25"/>
  <c r="H57" i="25"/>
  <c r="K14" i="25"/>
  <c r="J12" i="25"/>
  <c r="I12" i="25"/>
  <c r="H12" i="25"/>
  <c r="G12" i="25"/>
  <c r="L11" i="25"/>
  <c r="M11" i="25" s="1"/>
  <c r="H16" i="26" l="1"/>
  <c r="H19" i="26"/>
  <c r="F16" i="25"/>
  <c r="G16" i="25"/>
  <c r="J19" i="25"/>
  <c r="M14" i="25"/>
  <c r="M15" i="25" s="1"/>
  <c r="N11" i="25"/>
  <c r="I19" i="25"/>
  <c r="H16" i="25"/>
  <c r="J16" i="25"/>
  <c r="H19" i="25"/>
  <c r="L14" i="25"/>
  <c r="L15" i="25" s="1"/>
  <c r="K19" i="25"/>
  <c r="L19" i="25" l="1"/>
  <c r="L57" i="25"/>
  <c r="O11" i="25"/>
  <c r="N14" i="25"/>
  <c r="N15" i="25" s="1"/>
  <c r="M19" i="25"/>
  <c r="M57" i="25"/>
  <c r="P11" i="25" l="1"/>
  <c r="O14" i="25"/>
  <c r="O15" i="25" s="1"/>
  <c r="N19" i="25"/>
  <c r="N57" i="25"/>
  <c r="O19" i="25" l="1"/>
  <c r="O57" i="25"/>
  <c r="Q11" i="25"/>
  <c r="P14" i="25"/>
  <c r="P15" i="25" s="1"/>
  <c r="P57" i="25" l="1"/>
  <c r="P19" i="25"/>
  <c r="Q14" i="25"/>
  <c r="Q15" i="25" s="1"/>
  <c r="E62" i="25" s="1"/>
  <c r="R11" i="25"/>
  <c r="R14" i="25" s="1"/>
  <c r="R15" i="25" s="1"/>
  <c r="Q19" i="25" l="1"/>
  <c r="D42" i="25"/>
  <c r="D43" i="25"/>
  <c r="D44" i="25"/>
  <c r="D40" i="25"/>
  <c r="E66" i="25"/>
  <c r="E68" i="25" s="1"/>
  <c r="R19" i="25"/>
  <c r="D49" i="25" s="1"/>
  <c r="Q57" i="25"/>
  <c r="D57" i="25" s="1"/>
  <c r="D41" i="25"/>
  <c r="D51" i="25" l="1"/>
  <c r="D53" i="25" s="1"/>
  <c r="E70" i="25"/>
  <c r="E72" i="25" s="1"/>
  <c r="D52" i="25" l="1"/>
  <c r="E74" i="25"/>
  <c r="I11" i="26"/>
  <c r="I15" i="26" s="1"/>
  <c r="I19" i="26" l="1"/>
  <c r="I57" i="26"/>
  <c r="I14" i="26"/>
  <c r="I16" i="26" s="1"/>
  <c r="J11" i="26"/>
  <c r="J15" i="26" s="1"/>
  <c r="J14" i="26" l="1"/>
  <c r="J16" i="26" l="1"/>
  <c r="J19" i="26"/>
  <c r="J57" i="26"/>
  <c r="K11" i="26"/>
  <c r="L11" i="26" l="1"/>
  <c r="K15" i="26"/>
  <c r="M11" i="26"/>
  <c r="L14" i="26"/>
  <c r="L15" i="26" s="1"/>
  <c r="K14" i="26"/>
  <c r="K19" i="26" l="1"/>
  <c r="K57" i="26"/>
  <c r="L19" i="26"/>
  <c r="L57" i="26"/>
  <c r="M14" i="26"/>
  <c r="M15" i="26" s="1"/>
  <c r="N11" i="26"/>
  <c r="M57" i="26" l="1"/>
  <c r="M19" i="26"/>
  <c r="N14" i="26"/>
  <c r="N15" i="26" s="1"/>
  <c r="O11" i="26"/>
  <c r="N57" i="26" l="1"/>
  <c r="N19" i="26"/>
  <c r="P11" i="26"/>
  <c r="O14" i="26"/>
  <c r="O15" i="26" s="1"/>
  <c r="P14" i="26" l="1"/>
  <c r="P15" i="26" s="1"/>
  <c r="Q11" i="26"/>
  <c r="O19" i="26"/>
  <c r="O57" i="26"/>
  <c r="R11" i="26" l="1"/>
  <c r="R14" i="26" s="1"/>
  <c r="R15" i="26" s="1"/>
  <c r="D44" i="26" s="1"/>
  <c r="Q14" i="26"/>
  <c r="Q15" i="26" s="1"/>
  <c r="E62" i="26" s="1"/>
  <c r="P19" i="26"/>
  <c r="P57" i="26"/>
  <c r="D42" i="26" l="1"/>
  <c r="Q19" i="26"/>
  <c r="D41" i="26"/>
  <c r="R19" i="26"/>
  <c r="D49" i="26" s="1"/>
  <c r="D51" i="26" s="1"/>
  <c r="Q57" i="26"/>
  <c r="D57" i="26" s="1"/>
  <c r="E66" i="26"/>
  <c r="E68" i="26" s="1"/>
  <c r="D43" i="26"/>
  <c r="D40" i="26"/>
  <c r="D52" i="26" l="1"/>
  <c r="D53" i="26"/>
  <c r="E70" i="26"/>
  <c r="E72" i="26" l="1"/>
  <c r="E74" i="26"/>
</calcChain>
</file>

<file path=xl/sharedStrings.xml><?xml version="1.0" encoding="utf-8"?>
<sst xmlns="http://schemas.openxmlformats.org/spreadsheetml/2006/main" count="100" uniqueCount="49">
  <si>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</si>
  <si>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</si>
  <si>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</si>
  <si>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</si>
  <si>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</si>
  <si>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</si>
  <si>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</si>
  <si>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</si>
  <si>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</si>
  <si>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</si>
  <si>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</si>
  <si>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</si>
  <si>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</si>
  <si>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</si>
  <si>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</si>
  <si>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</si>
  <si>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</si>
  <si>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</si>
  <si>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</si>
  <si>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</si>
  <si>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</si>
  <si>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</si>
  <si>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</si>
  <si>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</si>
  <si>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</si>
  <si>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</si>
  <si>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</si>
  <si>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</si>
  <si>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USD</t>
  </si>
  <si>
    <t xml:space="preserve">Alle Angaben in Mrd. </t>
  </si>
  <si>
    <t>Nullzinsmarkterwartung:</t>
  </si>
  <si>
    <t>Abgezinster Gewinn in Mrd. USD:</t>
  </si>
  <si>
    <t>(ab 2024)</t>
  </si>
  <si>
    <t xml:space="preserve">Gewinn </t>
  </si>
  <si>
    <t>2032ff.</t>
  </si>
  <si>
    <t>25 % Abschlag vom EBIT für Zins und Steuern</t>
  </si>
  <si>
    <t>Optimistische Annahmen für Starbucks</t>
  </si>
  <si>
    <t>Eigenkapitalverzinsung</t>
  </si>
  <si>
    <t>Risikoloser Basiszins:</t>
  </si>
  <si>
    <t>rF</t>
  </si>
  <si>
    <t>Risikoprämie:</t>
  </si>
  <si>
    <t>Marktrendite:</t>
  </si>
  <si>
    <t>rM</t>
  </si>
  <si>
    <t>Beta Faktor (Consumer Services):</t>
  </si>
  <si>
    <t>ß</t>
  </si>
  <si>
    <t xml:space="preserve">Eigenkapitalkosten: </t>
  </si>
  <si>
    <t>rE</t>
  </si>
  <si>
    <t>Negatives EK</t>
  </si>
  <si>
    <t xml:space="preserve">Gerundet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</si>
</sst>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10" fontId="0" fillId="8" borderId="0" xfId="0" applyNumberFormat="1" applyFill="1"/>
    <xf numFmtId="4" fontId="1" fillId="8" borderId="0" xfId="1" applyNumberFormat="1" applyFont="1" applyFill="1"/>
    <xf numFmtId="0" fontId="0" fillId="2" borderId="0" xfId="0" quotePrefix="1" applyFill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255DE7B9-E0CC-49E6-B968-4A02F4B7AD48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9FF1BA9B-F518-427D-A7DF-B411904FA1D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10584</xdr:colOff>
      <xdr:row>23</xdr:row>
      <xdr:rowOff>84666</xdr:rowOff>
    </xdr:from>
    <xdr:to>
      <xdr:col>14</xdr:col>
      <xdr:colOff>323483</xdr:colOff>
      <xdr:row>30</xdr:row>
      <xdr:rowOff>67090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F7CE197-03F7-42B4-BEAE-98CD9654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67" y="5111749"/>
          <a:ext cx="3572566" cy="1390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1D34A2E0-AFE7-4A34-96FD-2086D5A4675A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154E6978-5B80-4453-A37D-505233416E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169334</xdr:colOff>
      <xdr:row>22</xdr:row>
      <xdr:rowOff>21166</xdr:rowOff>
    </xdr:from>
    <xdr:to>
      <xdr:col>14</xdr:col>
      <xdr:colOff>482233</xdr:colOff>
      <xdr:row>29</xdr:row>
      <xdr:rowOff>3591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B49E9B0-77A1-4E22-B012-A5BEA4EF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43417" y="4847166"/>
          <a:ext cx="3572566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opLeftCell="A7" zoomScale="90" zoomScaleNormal="90" workbookViewId="0">
      <selection activeCell="F13" sqref="F13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36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29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34</v>
      </c>
    </row>
    <row r="11" spans="1:28" x14ac:dyDescent="0.25">
      <c r="A11" s="5"/>
      <c r="B11" s="4" t="s">
        <v>4</v>
      </c>
      <c r="C11" s="84"/>
      <c r="D11" s="84"/>
      <c r="E11" s="84"/>
      <c r="F11" s="84">
        <v>23.512499999999999</v>
      </c>
      <c r="G11" s="84">
        <v>29.058800000000002</v>
      </c>
      <c r="H11" s="86">
        <v>32.774299999999997</v>
      </c>
      <c r="I11" s="86">
        <f t="shared" ref="I11:K11" si="0">H11*(1+I12)</f>
        <v>35.068500999999998</v>
      </c>
      <c r="J11" s="86">
        <f t="shared" si="0"/>
        <v>37.172611060000001</v>
      </c>
      <c r="K11" s="86">
        <f t="shared" si="0"/>
        <v>39.4029677236</v>
      </c>
      <c r="L11" s="86">
        <f>K11*(1+L12)</f>
        <v>37.43281933742</v>
      </c>
      <c r="M11" s="86">
        <f t="shared" ref="M11:R11" si="1">L11*(1+M12)</f>
        <v>41.924757657910405</v>
      </c>
      <c r="N11" s="86">
        <f t="shared" si="1"/>
        <v>44.44024311738503</v>
      </c>
      <c r="O11" s="86">
        <f t="shared" si="1"/>
        <v>45.329047979732735</v>
      </c>
      <c r="P11" s="86">
        <f t="shared" si="1"/>
        <v>43.062595580746098</v>
      </c>
      <c r="Q11" s="86">
        <f t="shared" si="1"/>
        <v>45.215725359783406</v>
      </c>
      <c r="R11" s="86">
        <f t="shared" si="1"/>
        <v>46.120039866979077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 t="shared" ref="F12:H12" si="2">G11/F11-1</f>
        <v>0.23588729399255715</v>
      </c>
      <c r="H12" s="63">
        <f t="shared" si="2"/>
        <v>0.1278614395639186</v>
      </c>
      <c r="I12" s="63">
        <v>7.0000000000000007E-2</v>
      </c>
      <c r="J12" s="63">
        <v>0.06</v>
      </c>
      <c r="K12" s="63">
        <v>0.06</v>
      </c>
      <c r="L12" s="63">
        <v>-0.05</v>
      </c>
      <c r="M12" s="63">
        <v>0.12</v>
      </c>
      <c r="N12" s="63">
        <v>0.06</v>
      </c>
      <c r="O12" s="63">
        <v>0.02</v>
      </c>
      <c r="P12" s="63">
        <v>-0.05</v>
      </c>
      <c r="Q12" s="63">
        <v>0.05</v>
      </c>
      <c r="R12" s="14">
        <v>0.02</v>
      </c>
    </row>
    <row r="13" spans="1:28" ht="15.95" customHeight="1" x14ac:dyDescent="0.25">
      <c r="A13" s="5"/>
      <c r="B13" s="4" t="s">
        <v>15</v>
      </c>
      <c r="C13" s="12"/>
      <c r="D13" s="12"/>
      <c r="E13" s="12"/>
      <c r="F13" s="12">
        <v>6.4500000000000002E-2</v>
      </c>
      <c r="G13" s="12">
        <v>0.1605</v>
      </c>
      <c r="H13" s="83">
        <v>0.1681</v>
      </c>
      <c r="I13" s="83">
        <v>0.16800000000000001</v>
      </c>
      <c r="J13" s="83">
        <v>0.16800000000000001</v>
      </c>
      <c r="K13" s="83">
        <v>0.16800000000000001</v>
      </c>
      <c r="L13" s="83">
        <v>0.17</v>
      </c>
      <c r="M13" s="83">
        <v>0.17</v>
      </c>
      <c r="N13" s="83">
        <v>0.17499999999999999</v>
      </c>
      <c r="O13" s="83">
        <v>0.17499999999999999</v>
      </c>
      <c r="P13" s="83">
        <v>0.18</v>
      </c>
      <c r="Q13" s="83">
        <v>0.18</v>
      </c>
      <c r="R13" s="83">
        <v>0.18</v>
      </c>
    </row>
    <row r="14" spans="1:28" ht="17.100000000000001" customHeight="1" x14ac:dyDescent="0.25">
      <c r="A14" s="5"/>
      <c r="B14" s="4" t="s">
        <v>16</v>
      </c>
      <c r="C14" s="84"/>
      <c r="D14" s="84"/>
      <c r="E14" s="84"/>
      <c r="F14" s="84">
        <f>F11*F13</f>
        <v>1.5165562500000001</v>
      </c>
      <c r="G14" s="84">
        <f>G11*G13</f>
        <v>4.6639374</v>
      </c>
      <c r="H14" s="86">
        <f t="shared" ref="H14:J14" si="3">H11*H13</f>
        <v>5.5093598299999993</v>
      </c>
      <c r="I14" s="86">
        <f t="shared" si="3"/>
        <v>5.8915081679999997</v>
      </c>
      <c r="J14" s="86">
        <f t="shared" si="3"/>
        <v>6.244998658080001</v>
      </c>
      <c r="K14" s="86">
        <f>K11*K13</f>
        <v>6.6196985775648001</v>
      </c>
      <c r="L14" s="86">
        <f t="shared" ref="L14:R14" si="4">L11*L13</f>
        <v>6.3635792873614001</v>
      </c>
      <c r="M14" s="86">
        <f t="shared" si="4"/>
        <v>7.1272088018447697</v>
      </c>
      <c r="N14" s="86">
        <f t="shared" si="4"/>
        <v>7.7770425455423799</v>
      </c>
      <c r="O14" s="86">
        <f>O11*O13</f>
        <v>7.9325833964532277</v>
      </c>
      <c r="P14" s="86">
        <f t="shared" si="4"/>
        <v>7.7512672045342974</v>
      </c>
      <c r="Q14" s="86">
        <f t="shared" si="4"/>
        <v>8.1388305647610135</v>
      </c>
      <c r="R14" s="86">
        <f t="shared" si="4"/>
        <v>8.3016071760562333</v>
      </c>
    </row>
    <row r="15" spans="1:28" ht="16.5" thickBot="1" x14ac:dyDescent="0.3">
      <c r="A15" s="13">
        <v>0.25</v>
      </c>
      <c r="B15" s="4" t="s">
        <v>33</v>
      </c>
      <c r="C15" s="85"/>
      <c r="D15" s="84"/>
      <c r="E15" s="84"/>
      <c r="F15" s="84">
        <f>F11*0.0395</f>
        <v>0.92874374999999998</v>
      </c>
      <c r="G15" s="84">
        <f>G11*0.1455</f>
        <v>4.2280553999999997</v>
      </c>
      <c r="H15" s="86">
        <f>H11*0.1181</f>
        <v>3.8706448299999994</v>
      </c>
      <c r="I15" s="86">
        <f>I11*0.12</f>
        <v>4.20822012</v>
      </c>
      <c r="J15" s="86">
        <f>J11*0.12</f>
        <v>4.4607133271999997</v>
      </c>
      <c r="K15" s="86">
        <f>K11*0.12</f>
        <v>4.7283561268319998</v>
      </c>
      <c r="L15" s="86">
        <f t="shared" ref="L15:Q15" si="5">L14*(1-$A$15)</f>
        <v>4.7726844655210501</v>
      </c>
      <c r="M15" s="86">
        <f t="shared" si="5"/>
        <v>5.3454066013835773</v>
      </c>
      <c r="N15" s="86">
        <f t="shared" si="5"/>
        <v>5.8327819091567852</v>
      </c>
      <c r="O15" s="86">
        <f t="shared" si="5"/>
        <v>5.9494375473399206</v>
      </c>
      <c r="P15" s="86">
        <f t="shared" si="5"/>
        <v>5.8134504034007231</v>
      </c>
      <c r="Q15" s="86">
        <f t="shared" si="5"/>
        <v>6.1041229235707597</v>
      </c>
      <c r="R15" s="86">
        <f>R14*(1-$A$15)</f>
        <v>6.226205382042175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6">F15/F14</f>
        <v>0.61240310077519378</v>
      </c>
      <c r="G16" s="17">
        <f t="shared" si="6"/>
        <v>0.90654205607476623</v>
      </c>
      <c r="H16" s="17">
        <f t="shared" si="6"/>
        <v>0.70255800118976797</v>
      </c>
      <c r="I16" s="17">
        <f t="shared" si="6"/>
        <v>0.7142857142857143</v>
      </c>
      <c r="J16" s="17">
        <f t="shared" si="6"/>
        <v>0.71428571428571408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3.6174250747663543</v>
      </c>
      <c r="I19" s="59">
        <f>I15/(1+$C$55)^2</f>
        <v>3.6756224299065421</v>
      </c>
      <c r="J19" s="59">
        <f>J15/(1+$C$55)^3</f>
        <v>3.6412708184120879</v>
      </c>
      <c r="K19" s="59">
        <f>K15/(1+$C$55)^4</f>
        <v>3.6072402500157135</v>
      </c>
      <c r="L19" s="59">
        <f>L15/(1+$C$55)^5</f>
        <v>3.402858062952907</v>
      </c>
      <c r="M19" s="59">
        <f>M15/(1+$C$55)^6</f>
        <v>3.5618701219693993</v>
      </c>
      <c r="N19" s="59">
        <f>N15/(1+$C$55)^7</f>
        <v>3.6323634283965007</v>
      </c>
      <c r="O19" s="59">
        <f>O15/(1+$C$55)^8</f>
        <v>3.4626268195929257</v>
      </c>
      <c r="P19" s="59">
        <f>P15/(1+$C$55)^9</f>
        <v>3.1621318352490801</v>
      </c>
      <c r="Q19" s="59">
        <f>Q15/(1+$C$55)^10</f>
        <v>3.1030265673004997</v>
      </c>
      <c r="R19" s="60">
        <f>(R15/(C55-R12))/(1+C55)^10</f>
        <v>63.301741972930195</v>
      </c>
    </row>
    <row r="20" spans="1:18" x14ac:dyDescent="0.25">
      <c r="A20" s="2"/>
      <c r="C20" s="89" t="s">
        <v>35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37</v>
      </c>
      <c r="B23" s="37"/>
      <c r="C23" s="37"/>
      <c r="D23" s="38"/>
      <c r="E23" s="26"/>
      <c r="F23" s="37"/>
      <c r="G23" s="67" t="s">
        <v>38</v>
      </c>
      <c r="H23" s="26"/>
      <c r="I23" s="93">
        <v>1E-3</v>
      </c>
      <c r="J23" s="27" t="s">
        <v>39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40</v>
      </c>
      <c r="H25" s="29"/>
      <c r="I25" s="95">
        <f>(I27-I23)*I29</f>
        <v>6.6930000000000003E-2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41</v>
      </c>
      <c r="H27" s="29"/>
      <c r="I27" s="96">
        <v>7.0000000000000007E-2</v>
      </c>
      <c r="J27" s="30" t="s">
        <v>42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43</v>
      </c>
      <c r="H29" s="29"/>
      <c r="I29" s="94">
        <v>0.97</v>
      </c>
      <c r="J29" s="30" t="s">
        <v>44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45</v>
      </c>
      <c r="H31" s="29"/>
      <c r="I31" s="96">
        <f>I23+(I27-I23)*I29</f>
        <v>6.7930000000000004E-2</v>
      </c>
      <c r="J31" s="30" t="s">
        <v>46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 t="s">
        <v>48</v>
      </c>
      <c r="H33" s="91"/>
      <c r="I33" s="92">
        <v>7.0000000000000007E-2</v>
      </c>
      <c r="J33" s="30"/>
    </row>
    <row r="34" spans="1:10" x14ac:dyDescent="0.25">
      <c r="A34" s="39" t="s">
        <v>7</v>
      </c>
      <c r="B34" s="40" t="s">
        <v>47</v>
      </c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7.0000000000000007E-2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44603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107817.61900000001</v>
      </c>
      <c r="D49" s="53">
        <f>SUM(H19:R19)*1000</f>
        <v>98168.177381492205</v>
      </c>
      <c r="E49" s="51" t="s">
        <v>28</v>
      </c>
    </row>
    <row r="50" spans="1:17" x14ac:dyDescent="0.25">
      <c r="A50" s="50"/>
      <c r="B50" s="51" t="s">
        <v>11</v>
      </c>
      <c r="C50" s="52">
        <v>1150.3</v>
      </c>
      <c r="D50" s="52">
        <f>C50</f>
        <v>1150.3</v>
      </c>
      <c r="E50" s="51"/>
    </row>
    <row r="51" spans="1:17" x14ac:dyDescent="0.25">
      <c r="A51" s="50"/>
      <c r="B51" s="51" t="s">
        <v>13</v>
      </c>
      <c r="C51" s="64">
        <v>93.73</v>
      </c>
      <c r="D51" s="64">
        <f>D49/(D50)</f>
        <v>85.341369539678524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</f>
        <v>0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9.829500634415389E-2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7.0000000000000007E-2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30</v>
      </c>
      <c r="B57" s="87">
        <v>0.108</v>
      </c>
      <c r="C57" s="56"/>
      <c r="D57" s="88">
        <f>SUM(H57:Q57)*1000</f>
        <v>52230.127601527733</v>
      </c>
      <c r="E57" s="51"/>
      <c r="F57" s="1" t="s">
        <v>31</v>
      </c>
      <c r="H57" s="1">
        <f>H15/(1+$B$57)</f>
        <v>3.4933617599277969</v>
      </c>
      <c r="I57" s="1">
        <f>I15/(1+$B$57)^2</f>
        <v>3.4278272556660445</v>
      </c>
      <c r="J57" s="1">
        <f>J15/(1+$B$57)^3</f>
        <v>3.2793293240126418</v>
      </c>
      <c r="K57" s="1">
        <f>K15/(1+$B$57)^4</f>
        <v>3.1372645157521655</v>
      </c>
      <c r="L57" s="1">
        <f>L15/(1+$B$57)^5</f>
        <v>2.8580111647900197</v>
      </c>
      <c r="M57" s="1">
        <f>M15/(1+$B$57)^6</f>
        <v>2.8889643543003811</v>
      </c>
      <c r="N57" s="1">
        <f>N15/(1+$B$57)^7</f>
        <v>2.8450992127984747</v>
      </c>
      <c r="O57" s="1">
        <f>O15/(1+$B$57)^8</f>
        <v>2.6191346543812659</v>
      </c>
      <c r="P57" s="1">
        <f>P15/(1+$B$57)^9</f>
        <v>2.3098093135595485</v>
      </c>
      <c r="Q57" s="1">
        <f>(R15/(B57-R12))/(1+B57)^10</f>
        <v>25.371326046339398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28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Q15*C59*1000</f>
        <v>170915.44185998128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0.5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28656.011818223495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-7164.0029545558737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192407.45072364889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0.78456408616896711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5.9627485513795486E-2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zoomScale="90" zoomScaleNormal="90" workbookViewId="0">
      <selection activeCell="I21" sqref="I2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36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29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34</v>
      </c>
    </row>
    <row r="11" spans="1:28" x14ac:dyDescent="0.25">
      <c r="A11" s="5"/>
      <c r="B11" s="4" t="s">
        <v>4</v>
      </c>
      <c r="C11" s="84"/>
      <c r="D11" s="84"/>
      <c r="E11" s="84"/>
      <c r="F11" s="84">
        <v>23.512499999999999</v>
      </c>
      <c r="G11" s="84">
        <v>29.058800000000002</v>
      </c>
      <c r="H11" s="86">
        <v>32.774299999999997</v>
      </c>
      <c r="I11" s="86">
        <v>35.70693</v>
      </c>
      <c r="J11" s="86">
        <v>38.630769999999998</v>
      </c>
      <c r="K11" s="86">
        <v>41.808999999999997</v>
      </c>
      <c r="L11" s="86">
        <f>K11*(1+L12)</f>
        <v>44.317540000000001</v>
      </c>
      <c r="M11" s="86">
        <f t="shared" ref="M11:R11" si="0">L11*(1+M12)</f>
        <v>46.976592400000001</v>
      </c>
      <c r="N11" s="86">
        <f t="shared" si="0"/>
        <v>49.795187944000006</v>
      </c>
      <c r="O11" s="86">
        <f t="shared" si="0"/>
        <v>52.782899220640012</v>
      </c>
      <c r="P11" s="86">
        <f t="shared" si="0"/>
        <v>55.422044181672014</v>
      </c>
      <c r="Q11" s="86">
        <f t="shared" si="0"/>
        <v>58.193146390755615</v>
      </c>
      <c r="R11" s="86">
        <f t="shared" si="0"/>
        <v>59.357009318570725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 t="shared" ref="F12:K12" si="1">G11/F11-1</f>
        <v>0.23588729399255715</v>
      </c>
      <c r="H12" s="63">
        <f t="shared" si="1"/>
        <v>0.1278614395639186</v>
      </c>
      <c r="I12" s="63">
        <f t="shared" si="1"/>
        <v>8.9479561729770118E-2</v>
      </c>
      <c r="J12" s="63">
        <f t="shared" si="1"/>
        <v>8.1884384907915608E-2</v>
      </c>
      <c r="K12" s="63">
        <f t="shared" si="1"/>
        <v>8.2271981635364755E-2</v>
      </c>
      <c r="L12" s="63">
        <v>0.06</v>
      </c>
      <c r="M12" s="63">
        <v>0.06</v>
      </c>
      <c r="N12" s="63">
        <v>0.06</v>
      </c>
      <c r="O12" s="63">
        <v>0.06</v>
      </c>
      <c r="P12" s="63">
        <v>0.05</v>
      </c>
      <c r="Q12" s="63">
        <v>0.05</v>
      </c>
      <c r="R12" s="14">
        <v>0.02</v>
      </c>
    </row>
    <row r="13" spans="1:28" ht="15.95" customHeight="1" x14ac:dyDescent="0.25">
      <c r="A13" s="5"/>
      <c r="B13" s="4" t="s">
        <v>15</v>
      </c>
      <c r="C13" s="12"/>
      <c r="D13" s="12"/>
      <c r="E13" s="12"/>
      <c r="F13" s="12">
        <v>6.4500000000000002E-2</v>
      </c>
      <c r="G13" s="12">
        <v>0.1605</v>
      </c>
      <c r="H13" s="83">
        <v>0.1681</v>
      </c>
      <c r="I13" s="83">
        <v>0.17610000000000001</v>
      </c>
      <c r="J13" s="83">
        <v>0.1807</v>
      </c>
      <c r="K13" s="83">
        <v>0.1825</v>
      </c>
      <c r="L13" s="83">
        <v>0.185</v>
      </c>
      <c r="M13" s="83">
        <v>0.185</v>
      </c>
      <c r="N13" s="83">
        <v>0.185</v>
      </c>
      <c r="O13" s="83">
        <v>0.19</v>
      </c>
      <c r="P13" s="83">
        <v>0.2</v>
      </c>
      <c r="Q13" s="83">
        <v>0.20499999999999999</v>
      </c>
      <c r="R13" s="83">
        <v>0.21</v>
      </c>
    </row>
    <row r="14" spans="1:28" ht="17.100000000000001" customHeight="1" x14ac:dyDescent="0.25">
      <c r="A14" s="5"/>
      <c r="B14" s="4" t="s">
        <v>16</v>
      </c>
      <c r="C14" s="84"/>
      <c r="D14" s="84"/>
      <c r="E14" s="84"/>
      <c r="F14" s="84">
        <f>F11*F13</f>
        <v>1.5165562500000001</v>
      </c>
      <c r="G14" s="84">
        <f>G11*G13</f>
        <v>4.6639374</v>
      </c>
      <c r="H14" s="86">
        <f t="shared" ref="H14:J14" si="2">H11*H13</f>
        <v>5.5093598299999993</v>
      </c>
      <c r="I14" s="86">
        <f t="shared" si="2"/>
        <v>6.2879903730000004</v>
      </c>
      <c r="J14" s="86">
        <f t="shared" si="2"/>
        <v>6.9805801389999997</v>
      </c>
      <c r="K14" s="86">
        <f>K11*K13</f>
        <v>7.6301424999999989</v>
      </c>
      <c r="L14" s="86">
        <f t="shared" ref="L14:R14" si="3">L11*L13</f>
        <v>8.1987448999999994</v>
      </c>
      <c r="M14" s="86">
        <f t="shared" si="3"/>
        <v>8.6906695940000009</v>
      </c>
      <c r="N14" s="86">
        <f t="shared" si="3"/>
        <v>9.2121097696400014</v>
      </c>
      <c r="O14" s="86">
        <f>O11*O13</f>
        <v>10.028750851921602</v>
      </c>
      <c r="P14" s="86">
        <f t="shared" si="3"/>
        <v>11.084408836334404</v>
      </c>
      <c r="Q14" s="86">
        <f t="shared" si="3"/>
        <v>11.929595010104901</v>
      </c>
      <c r="R14" s="86">
        <f t="shared" si="3"/>
        <v>12.464971956899852</v>
      </c>
    </row>
    <row r="15" spans="1:28" ht="16.5" thickBot="1" x14ac:dyDescent="0.3">
      <c r="A15" s="13">
        <v>0.25</v>
      </c>
      <c r="B15" s="4" t="s">
        <v>33</v>
      </c>
      <c r="C15" s="85"/>
      <c r="D15" s="84"/>
      <c r="E15" s="84"/>
      <c r="F15" s="84">
        <f>F11*0.0395</f>
        <v>0.92874374999999998</v>
      </c>
      <c r="G15" s="84">
        <f>G11*0.1455</f>
        <v>4.2280553999999997</v>
      </c>
      <c r="H15" s="86">
        <f>H11*0.1181</f>
        <v>3.8706448299999994</v>
      </c>
      <c r="I15" s="86">
        <f>I11*0.1248</f>
        <v>4.4562248640000002</v>
      </c>
      <c r="J15" s="86">
        <f>J11*0.129</f>
        <v>4.9833693299999995</v>
      </c>
      <c r="K15" s="86">
        <f>K11*0.128</f>
        <v>5.3515519999999999</v>
      </c>
      <c r="L15" s="86">
        <f t="shared" ref="L15:Q15" si="4">L14*(1-$A$15)</f>
        <v>6.1490586749999991</v>
      </c>
      <c r="M15" s="86">
        <f t="shared" si="4"/>
        <v>6.5180021955000012</v>
      </c>
      <c r="N15" s="86">
        <f t="shared" si="4"/>
        <v>6.909082327230001</v>
      </c>
      <c r="O15" s="86">
        <f t="shared" si="4"/>
        <v>7.5215631389412021</v>
      </c>
      <c r="P15" s="86">
        <f t="shared" si="4"/>
        <v>8.3133066272508032</v>
      </c>
      <c r="Q15" s="86">
        <f t="shared" si="4"/>
        <v>8.9471962575786748</v>
      </c>
      <c r="R15" s="86">
        <f>R14*(1-$A$15)</f>
        <v>9.348728967674889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5">F15/F14</f>
        <v>0.61240310077519378</v>
      </c>
      <c r="G16" s="17">
        <f t="shared" si="5"/>
        <v>0.90654205607476623</v>
      </c>
      <c r="H16" s="17">
        <f t="shared" si="5"/>
        <v>0.70255800118976797</v>
      </c>
      <c r="I16" s="17">
        <f t="shared" si="5"/>
        <v>0.70868824531516184</v>
      </c>
      <c r="J16" s="17">
        <f t="shared" si="5"/>
        <v>0.71389042612064191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3.6174250747663543</v>
      </c>
      <c r="I19" s="59">
        <f>I15/(1+$C$55)^2</f>
        <v>3.8922393781116256</v>
      </c>
      <c r="J19" s="59">
        <f>J15/(1+$C$55)^3</f>
        <v>4.0679138038419866</v>
      </c>
      <c r="K19" s="59">
        <f>K15/(1+$C$55)^4</f>
        <v>4.082673397823358</v>
      </c>
      <c r="L19" s="59">
        <f>L15/(1+$C$55)^5</f>
        <v>4.3841938521091572</v>
      </c>
      <c r="M19" s="59">
        <f>M15/(1+$C$55)^6</f>
        <v>4.3432200777903818</v>
      </c>
      <c r="N19" s="59">
        <f>N15/(1+$C$55)^7</f>
        <v>4.3026292359418736</v>
      </c>
      <c r="O19" s="59">
        <f>O15/(1+$C$55)^8</f>
        <v>4.377618227424569</v>
      </c>
      <c r="P19" s="59">
        <f>P15/(1+$C$55)^9</f>
        <v>4.5218879870101301</v>
      </c>
      <c r="Q19" s="59">
        <f>Q15/(1+$C$55)^10</f>
        <v>4.5483008841305157</v>
      </c>
      <c r="R19" s="60">
        <f>(R15/(C55-R12))/(1+C55)^10</f>
        <v>95.048395061537221</v>
      </c>
    </row>
    <row r="20" spans="1:18" x14ac:dyDescent="0.25">
      <c r="A20" s="2"/>
      <c r="C20" s="89" t="s">
        <v>35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37</v>
      </c>
      <c r="B23" s="37"/>
      <c r="C23" s="37"/>
      <c r="D23" s="38"/>
      <c r="E23" s="26"/>
      <c r="F23" s="37"/>
      <c r="G23" s="67" t="s">
        <v>38</v>
      </c>
      <c r="H23" s="26"/>
      <c r="I23" s="93">
        <v>1E-3</v>
      </c>
      <c r="J23" s="27" t="s">
        <v>39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40</v>
      </c>
      <c r="H25" s="29"/>
      <c r="I25" s="95">
        <f>(I27-I23)*I29</f>
        <v>6.6930000000000003E-2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41</v>
      </c>
      <c r="H27" s="29"/>
      <c r="I27" s="96">
        <v>7.0000000000000007E-2</v>
      </c>
      <c r="J27" s="30" t="s">
        <v>42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43</v>
      </c>
      <c r="H29" s="29"/>
      <c r="I29" s="94">
        <v>0.97</v>
      </c>
      <c r="J29" s="30" t="s">
        <v>44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45</v>
      </c>
      <c r="H31" s="29"/>
      <c r="I31" s="96">
        <f>I23+(I27-I23)*I29</f>
        <v>6.7930000000000004E-2</v>
      </c>
      <c r="J31" s="30" t="s">
        <v>46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 t="s">
        <v>48</v>
      </c>
      <c r="H33" s="91"/>
      <c r="I33" s="92">
        <v>7.0000000000000007E-2</v>
      </c>
      <c r="J33" s="30"/>
    </row>
    <row r="34" spans="1:10" x14ac:dyDescent="0.25">
      <c r="A34" s="39" t="s">
        <v>7</v>
      </c>
      <c r="B34" s="40" t="s">
        <v>47</v>
      </c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7.0000000000000007E-2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44603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107817.61900000001</v>
      </c>
      <c r="D49" s="53">
        <f>SUM(H19:R19)*1000</f>
        <v>137186.49698048717</v>
      </c>
      <c r="E49" s="51" t="s">
        <v>28</v>
      </c>
    </row>
    <row r="50" spans="1:17" x14ac:dyDescent="0.25">
      <c r="A50" s="50"/>
      <c r="B50" s="51" t="s">
        <v>11</v>
      </c>
      <c r="C50" s="52">
        <v>1150.3</v>
      </c>
      <c r="D50" s="52">
        <f>C50</f>
        <v>1150.3</v>
      </c>
      <c r="E50" s="51"/>
    </row>
    <row r="51" spans="1:17" x14ac:dyDescent="0.25">
      <c r="A51" s="50"/>
      <c r="B51" s="51" t="s">
        <v>13</v>
      </c>
      <c r="C51" s="64">
        <v>93.73</v>
      </c>
      <c r="D51" s="64">
        <f>D49/(D50)</f>
        <v>119.26149437580385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</f>
        <v>-0.21407994683809495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0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7.0000000000000007E-2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30</v>
      </c>
      <c r="B57" s="87">
        <v>0.108</v>
      </c>
      <c r="C57" s="56"/>
      <c r="D57" s="88">
        <f>SUM(H57:Q57)*1000</f>
        <v>69622.208835821017</v>
      </c>
      <c r="E57" s="51"/>
      <c r="F57" s="1" t="s">
        <v>31</v>
      </c>
      <c r="H57" s="1">
        <f>H15/(1+$B$57)</f>
        <v>3.4933617599277969</v>
      </c>
      <c r="I57" s="1">
        <f>I15/(1+$B$57)^2</f>
        <v>3.6298407903139616</v>
      </c>
      <c r="J57" s="1">
        <f>J15/(1+$B$57)^3</f>
        <v>3.6635640933492155</v>
      </c>
      <c r="K57" s="1">
        <f>K15/(1+$B$57)^4</f>
        <v>3.5507550073330294</v>
      </c>
      <c r="L57" s="1">
        <f>L15/(1+$B$57)^5</f>
        <v>3.6822208702582442</v>
      </c>
      <c r="M57" s="1">
        <f>M15/(1+$B$57)^6</f>
        <v>3.5227022766008478</v>
      </c>
      <c r="N57" s="1">
        <f>N15/(1+$B$57)^7</f>
        <v>3.3700942357372732</v>
      </c>
      <c r="O57" s="1">
        <f>O15/(1+$B$57)^8</f>
        <v>3.3112351403916804</v>
      </c>
      <c r="P57" s="1">
        <f>P15/(1+$B$57)^9</f>
        <v>3.3030561442250277</v>
      </c>
      <c r="Q57" s="1">
        <f>(R15/(B57-R12))/(1+B57)^10</f>
        <v>38.095378517683933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32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Q15*C59*1000</f>
        <v>286310.28024251759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0.5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36184.364606587784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-9046.0911516469459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313448.55369745847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1.9072108678031414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0.11262202639354002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2022-02-12T10:06:10Z</dcterms:modified>
</cp:coreProperties>
</file>