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b4952b37a507c8/Desktop/WirLiebenAktien/Aktienanalysen/Match Group/"/>
    </mc:Choice>
  </mc:AlternateContent>
  <xr:revisionPtr revIDLastSave="254" documentId="13_ncr:1_{CC45D103-57EC-4465-A491-9EF448245824}" xr6:coauthVersionLast="47" xr6:coauthVersionMax="47" xr10:uidLastSave="{9541B5DA-698B-4D02-BDF7-776DDB741C83}"/>
  <bookViews>
    <workbookView xWindow="-120" yWindow="-120" windowWidth="29040" windowHeight="15720" activeTab="1" xr2:uid="{00000000-000D-0000-FFFF-FFFF00000000}"/>
  </bookViews>
  <sheets>
    <sheet name="Pessimistisch" sheetId="28" r:id="rId1"/>
    <sheet name="Optimistisch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8" l="1"/>
  <c r="J11" i="28"/>
  <c r="D50" i="28"/>
  <c r="C49" i="28"/>
  <c r="D46" i="28"/>
  <c r="C55" i="28"/>
  <c r="G16" i="28"/>
  <c r="F16" i="28"/>
  <c r="G13" i="28"/>
  <c r="F13" i="28"/>
  <c r="E13" i="28"/>
  <c r="D13" i="28"/>
  <c r="C13" i="28"/>
  <c r="G12" i="28"/>
  <c r="F12" i="28"/>
  <c r="E12" i="28"/>
  <c r="D12" i="28"/>
  <c r="K16" i="27"/>
  <c r="J15" i="27"/>
  <c r="J14" i="27"/>
  <c r="I15" i="27"/>
  <c r="I14" i="27"/>
  <c r="H14" i="27"/>
  <c r="H15" i="27"/>
  <c r="H12" i="27"/>
  <c r="I12" i="27"/>
  <c r="J12" i="27"/>
  <c r="C13" i="27"/>
  <c r="D13" i="27"/>
  <c r="E13" i="27"/>
  <c r="F13" i="27"/>
  <c r="G13" i="27"/>
  <c r="D12" i="27"/>
  <c r="E12" i="27"/>
  <c r="F12" i="27"/>
  <c r="D50" i="27"/>
  <c r="C49" i="27"/>
  <c r="D46" i="27"/>
  <c r="C55" i="27"/>
  <c r="F16" i="27"/>
  <c r="G16" i="27"/>
  <c r="G12" i="27"/>
  <c r="I57" i="27"/>
  <c r="I19" i="27"/>
  <c r="I16" i="27"/>
  <c r="H19" i="27"/>
  <c r="H57" i="27"/>
  <c r="H16" i="27"/>
  <c r="K11" i="27"/>
  <c r="J19" i="27"/>
  <c r="J57" i="27"/>
  <c r="J16" i="27"/>
  <c r="K14" i="27"/>
  <c r="K15" i="27"/>
  <c r="L11" i="27"/>
  <c r="L14" i="27"/>
  <c r="L15" i="27"/>
  <c r="M11" i="27"/>
  <c r="K57" i="27"/>
  <c r="K19" i="27"/>
  <c r="M14" i="27"/>
  <c r="M15" i="27"/>
  <c r="N11" i="27"/>
  <c r="L19" i="27"/>
  <c r="L57" i="27"/>
  <c r="O11" i="27"/>
  <c r="N14" i="27"/>
  <c r="N15" i="27"/>
  <c r="M57" i="27"/>
  <c r="M19" i="27"/>
  <c r="N57" i="27"/>
  <c r="N19" i="27"/>
  <c r="P11" i="27"/>
  <c r="O14" i="27"/>
  <c r="O15" i="27"/>
  <c r="O19" i="27"/>
  <c r="O57" i="27"/>
  <c r="P14" i="27"/>
  <c r="P15" i="27"/>
  <c r="Q11" i="27"/>
  <c r="Q14" i="27"/>
  <c r="Q15" i="27"/>
  <c r="E62" i="27"/>
  <c r="R11" i="27"/>
  <c r="R14" i="27"/>
  <c r="R15" i="27"/>
  <c r="P57" i="27"/>
  <c r="P19" i="27"/>
  <c r="E66" i="27"/>
  <c r="E68" i="27"/>
  <c r="R19" i="27"/>
  <c r="Q57" i="27"/>
  <c r="D57" i="27"/>
  <c r="D44" i="27"/>
  <c r="D40" i="27"/>
  <c r="D43" i="27"/>
  <c r="Q19" i="27"/>
  <c r="D42" i="27"/>
  <c r="D41" i="27"/>
  <c r="D49" i="27"/>
  <c r="D51" i="27"/>
  <c r="D52" i="27"/>
  <c r="E70" i="27"/>
  <c r="D53" i="27"/>
  <c r="E74" i="27"/>
  <c r="E72" i="27"/>
  <c r="K11" i="28"/>
  <c r="K14" i="28"/>
  <c r="K15" i="28"/>
  <c r="J15" i="28"/>
  <c r="J19" i="28"/>
  <c r="I15" i="28"/>
  <c r="I57" i="28"/>
  <c r="H15" i="28"/>
  <c r="H57" i="28"/>
  <c r="H14" i="28"/>
  <c r="J14" i="28"/>
  <c r="H12" i="28"/>
  <c r="I14" i="28"/>
  <c r="J57" i="28"/>
  <c r="J16" i="28"/>
  <c r="I19" i="28"/>
  <c r="I16" i="28"/>
  <c r="K16" i="28"/>
  <c r="K57" i="28"/>
  <c r="K19" i="28"/>
  <c r="H16" i="28"/>
  <c r="L11" i="28"/>
  <c r="H19" i="28"/>
  <c r="M11" i="28"/>
  <c r="L14" i="28"/>
  <c r="L15" i="28"/>
  <c r="M14" i="28"/>
  <c r="M15" i="28"/>
  <c r="N11" i="28"/>
  <c r="L57" i="28"/>
  <c r="L19" i="28"/>
  <c r="O11" i="28"/>
  <c r="N14" i="28"/>
  <c r="N15" i="28"/>
  <c r="M19" i="28"/>
  <c r="M57" i="28"/>
  <c r="N19" i="28"/>
  <c r="N57" i="28"/>
  <c r="P11" i="28"/>
  <c r="O14" i="28"/>
  <c r="O15" i="28"/>
  <c r="O19" i="28"/>
  <c r="O57" i="28"/>
  <c r="P14" i="28"/>
  <c r="P15" i="28"/>
  <c r="Q11" i="28"/>
  <c r="R11" i="28"/>
  <c r="R14" i="28"/>
  <c r="R15" i="28"/>
  <c r="Q14" i="28"/>
  <c r="Q15" i="28"/>
  <c r="P57" i="28"/>
  <c r="P19" i="28"/>
  <c r="D43" i="28"/>
  <c r="E62" i="28"/>
  <c r="Q19" i="28"/>
  <c r="E66" i="28"/>
  <c r="E68" i="28"/>
  <c r="D40" i="28"/>
  <c r="D44" i="28"/>
  <c r="D41" i="28"/>
  <c r="D42" i="28"/>
  <c r="R19" i="28"/>
  <c r="D49" i="28"/>
  <c r="D51" i="28"/>
  <c r="Q57" i="28"/>
  <c r="D57" i="28"/>
  <c r="D52" i="28"/>
  <c r="D53" i="28"/>
  <c r="E70" i="28"/>
  <c r="E74" i="28"/>
  <c r="E72" i="28"/>
</calcChain>
</file>

<file path=xl/sharedStrings.xml><?xml version="1.0" encoding="utf-8"?>
<sst xmlns="http://schemas.openxmlformats.org/spreadsheetml/2006/main" count="98" uniqueCount="48">
  <si>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</si>
  <si>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</si>
  <si>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</si>
  <si>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</si>
  <si>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</si>
  <si>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</si>
  <si>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</si>
  <si>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</si>
  <si>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</si>
  <si>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</si>
  <si>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</si>
  <si>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</si>
  <si>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</si>
  <si>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</si>
  <si>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</si>
  <si>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</si>
  <si>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</si>
  <si>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</si>
  <si>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</si>
  <si>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</si>
  <si>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</si>
  <si>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</si>
  <si>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</si>
  <si>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</si>
  <si>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</si>
  <si>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</si>
  <si>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</si>
  <si>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</si>
  <si>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Nullzinsmarkterwartung:</t>
  </si>
  <si>
    <t>Abgezinster Gewinn in Mrd. USD:</t>
  </si>
  <si>
    <t xml:space="preserve">Gewinn </t>
  </si>
  <si>
    <t>2032ff.</t>
  </si>
  <si>
    <t>Eigenkapitalverzinsung</t>
  </si>
  <si>
    <t>Risikoloser Basiszins:</t>
  </si>
  <si>
    <t>rF</t>
  </si>
  <si>
    <t>Risikoprämie:</t>
  </si>
  <si>
    <t>Marktrendite:</t>
  </si>
  <si>
    <t>rM</t>
  </si>
  <si>
    <t>Beta Faktor (Consumer Services):</t>
  </si>
  <si>
    <t>ß</t>
  </si>
  <si>
    <t xml:space="preserve">Eigenkapitalkosten: </t>
  </si>
  <si>
    <t>rE</t>
  </si>
  <si>
    <t xml:space="preserve">Alle Angaben in Mio. </t>
  </si>
  <si>
    <t>(ab 2025)</t>
  </si>
  <si>
    <t>25 % Abschlag vom EBIT für Zins und Steuern</t>
  </si>
  <si>
    <t>USD</t>
  </si>
  <si>
    <t>Keine Rundung</t>
  </si>
  <si>
    <t>Optimistische Annahmen für Match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</si>
</sst>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1" fillId="6" borderId="0" xfId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1" fillId="8" borderId="0" xfId="1" applyNumberFormat="1" applyFont="1" applyFill="1"/>
    <xf numFmtId="0" fontId="0" fillId="2" borderId="0" xfId="0" quotePrefix="1" applyFill="1"/>
    <xf numFmtId="0" fontId="3" fillId="2" borderId="7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4" fontId="7" fillId="5" borderId="0" xfId="0" applyNumberFormat="1" applyFont="1" applyFill="1"/>
    <xf numFmtId="9" fontId="7" fillId="5" borderId="0" xfId="1" applyFont="1" applyFill="1"/>
  </cellXfs>
  <cellStyles count="3">
    <cellStyle name="Prozent" xfId="1" builtinId="5"/>
    <cellStyle name="Prozent 2" xfId="2" xr:uid="{00000000-0005-0000-0000-000001000000}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753468F0-101E-4F2A-8141-BF9A000154B3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A22EC2E1-A8FB-46C1-B36B-5120E50B641B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461065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466065E-02F9-46D2-AB15-10071C5E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191" y="4875741"/>
          <a:ext cx="3551399" cy="13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461065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3CDFB-2F3E-42C7-B40A-24A6AB4010D8}">
  <dimension ref="A2:AB74"/>
  <sheetViews>
    <sheetView topLeftCell="A25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47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42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31</v>
      </c>
    </row>
    <row r="11" spans="1:28" x14ac:dyDescent="0.25">
      <c r="A11" s="5"/>
      <c r="B11" s="4" t="s">
        <v>4</v>
      </c>
      <c r="C11" s="94">
        <v>1189.896</v>
      </c>
      <c r="D11" s="94">
        <v>1280.8599999999999</v>
      </c>
      <c r="E11" s="94">
        <v>1459.3209999999999</v>
      </c>
      <c r="F11" s="94">
        <v>1335.452</v>
      </c>
      <c r="G11" s="94">
        <v>1646.7850000000001</v>
      </c>
      <c r="H11" s="83">
        <v>3300</v>
      </c>
      <c r="I11" s="83">
        <f t="shared" ref="I11:J11" si="0">H11*(1+I12)</f>
        <v>3827.9999999999995</v>
      </c>
      <c r="J11" s="83">
        <f t="shared" si="0"/>
        <v>4210.8</v>
      </c>
      <c r="K11" s="83">
        <f>J11*(1+K12)</f>
        <v>4547.6640000000007</v>
      </c>
      <c r="L11" s="83">
        <f>K11*(1+L12)</f>
        <v>4911.4771200000014</v>
      </c>
      <c r="M11" s="83">
        <f t="shared" ref="M11:R11" si="1">L11*(1+M12)</f>
        <v>5206.1657472000015</v>
      </c>
      <c r="N11" s="83">
        <f t="shared" si="1"/>
        <v>5518.5356920320019</v>
      </c>
      <c r="O11" s="83">
        <f t="shared" si="1"/>
        <v>5794.4624766336019</v>
      </c>
      <c r="P11" s="83">
        <f t="shared" si="1"/>
        <v>6084.1856004652818</v>
      </c>
      <c r="Q11" s="83">
        <f t="shared" si="1"/>
        <v>6327.5530244838938</v>
      </c>
      <c r="R11" s="83">
        <f t="shared" si="1"/>
        <v>6454.1040849735718</v>
      </c>
    </row>
    <row r="12" spans="1:28" x14ac:dyDescent="0.25">
      <c r="A12" s="5"/>
      <c r="B12" s="4" t="s">
        <v>1</v>
      </c>
      <c r="C12" s="95"/>
      <c r="D12" s="95">
        <f t="shared" ref="D12:H12" si="2">D11/C11-1</f>
        <v>7.6447017218311375E-2</v>
      </c>
      <c r="E12" s="95">
        <f t="shared" si="2"/>
        <v>0.13932904454819428</v>
      </c>
      <c r="F12" s="95">
        <f t="shared" si="2"/>
        <v>-8.4881256419937712E-2</v>
      </c>
      <c r="G12" s="95">
        <f t="shared" si="2"/>
        <v>0.23312930753033445</v>
      </c>
      <c r="H12" s="62">
        <f t="shared" si="2"/>
        <v>1.0039045777074724</v>
      </c>
      <c r="I12" s="62">
        <v>0.16</v>
      </c>
      <c r="J12" s="62">
        <v>0.1</v>
      </c>
      <c r="K12" s="62">
        <v>0.08</v>
      </c>
      <c r="L12" s="62">
        <v>0.08</v>
      </c>
      <c r="M12" s="62">
        <v>0.06</v>
      </c>
      <c r="N12" s="62">
        <v>0.06</v>
      </c>
      <c r="O12" s="62">
        <v>0.05</v>
      </c>
      <c r="P12" s="62">
        <v>0.05</v>
      </c>
      <c r="Q12" s="62">
        <v>0.04</v>
      </c>
      <c r="R12" s="13">
        <v>0.02</v>
      </c>
    </row>
    <row r="13" spans="1:28" ht="15.95" customHeight="1" x14ac:dyDescent="0.25">
      <c r="A13" s="5"/>
      <c r="B13" s="4" t="s">
        <v>15</v>
      </c>
      <c r="C13" s="95">
        <f t="shared" ref="C13:F13" si="3">C14/C11</f>
        <v>0.15197126471557179</v>
      </c>
      <c r="D13" s="95">
        <f t="shared" si="3"/>
        <v>0.15390440797589119</v>
      </c>
      <c r="E13" s="95">
        <f t="shared" si="3"/>
        <v>0.18135763139158553</v>
      </c>
      <c r="F13" s="95">
        <f t="shared" si="3"/>
        <v>0.13295273809916042</v>
      </c>
      <c r="G13" s="95">
        <f>G14/G11</f>
        <v>0.22687478936230288</v>
      </c>
      <c r="H13" s="82">
        <v>0.28499999999999998</v>
      </c>
      <c r="I13" s="82">
        <v>0.29949999999999999</v>
      </c>
      <c r="J13" s="82">
        <v>0.3</v>
      </c>
      <c r="K13" s="82">
        <v>0.3</v>
      </c>
      <c r="L13" s="82">
        <v>0.3</v>
      </c>
      <c r="M13" s="82">
        <v>0.3</v>
      </c>
      <c r="N13" s="82">
        <v>0.3</v>
      </c>
      <c r="O13" s="82">
        <v>0.3</v>
      </c>
      <c r="P13" s="82">
        <v>0.3</v>
      </c>
      <c r="Q13" s="82">
        <v>0.3</v>
      </c>
      <c r="R13" s="82">
        <v>0.3</v>
      </c>
    </row>
    <row r="14" spans="1:28" ht="17.100000000000001" customHeight="1" x14ac:dyDescent="0.25">
      <c r="A14" s="5"/>
      <c r="B14" s="4" t="s">
        <v>16</v>
      </c>
      <c r="C14" s="94">
        <v>180.83</v>
      </c>
      <c r="D14" s="94">
        <v>197.13</v>
      </c>
      <c r="E14" s="94">
        <v>264.65899999999999</v>
      </c>
      <c r="F14" s="94">
        <v>177.55199999999999</v>
      </c>
      <c r="G14" s="94">
        <v>373.61399999999998</v>
      </c>
      <c r="H14" s="83">
        <f>H11*H13</f>
        <v>940.49999999999989</v>
      </c>
      <c r="I14" s="83">
        <f>I11*I13</f>
        <v>1146.4859999999999</v>
      </c>
      <c r="J14" s="83">
        <f>J11*J13</f>
        <v>1263.24</v>
      </c>
      <c r="K14" s="83">
        <f>K11*K13</f>
        <v>1364.2992000000002</v>
      </c>
      <c r="L14" s="83">
        <f t="shared" ref="L14:R14" si="4">L11*L13</f>
        <v>1473.4431360000003</v>
      </c>
      <c r="M14" s="83">
        <f t="shared" si="4"/>
        <v>1561.8497241600005</v>
      </c>
      <c r="N14" s="83">
        <f t="shared" si="4"/>
        <v>1655.5607076096005</v>
      </c>
      <c r="O14" s="83">
        <f>O11*O13</f>
        <v>1738.3387429900806</v>
      </c>
      <c r="P14" s="83">
        <f t="shared" si="4"/>
        <v>1825.2556801395845</v>
      </c>
      <c r="Q14" s="83">
        <f t="shared" si="4"/>
        <v>1898.265907345168</v>
      </c>
      <c r="R14" s="83">
        <f t="shared" si="4"/>
        <v>1936.2312254920714</v>
      </c>
    </row>
    <row r="15" spans="1:28" ht="16.5" thickBot="1" x14ac:dyDescent="0.3">
      <c r="A15" s="12">
        <v>0.25</v>
      </c>
      <c r="B15" s="4" t="s">
        <v>30</v>
      </c>
      <c r="C15" s="94">
        <v>134.44499999999999</v>
      </c>
      <c r="D15" s="94">
        <v>126.46299999999999</v>
      </c>
      <c r="E15" s="94">
        <v>159.756</v>
      </c>
      <c r="F15" s="94">
        <v>122.38500000000001</v>
      </c>
      <c r="G15" s="94">
        <v>236.27600000000001</v>
      </c>
      <c r="H15" s="83">
        <f>H11*0.2101</f>
        <v>693.33</v>
      </c>
      <c r="I15" s="83">
        <f>I11*0.22</f>
        <v>842.15999999999985</v>
      </c>
      <c r="J15" s="83">
        <f>J11*0.2348</f>
        <v>988.69584000000009</v>
      </c>
      <c r="K15" s="83">
        <f t="shared" ref="K15:Q15" si="5">K14*(1-$A$15)</f>
        <v>1023.2244000000001</v>
      </c>
      <c r="L15" s="83">
        <f t="shared" si="5"/>
        <v>1105.0823520000004</v>
      </c>
      <c r="M15" s="83">
        <f t="shared" si="5"/>
        <v>1171.3872931200003</v>
      </c>
      <c r="N15" s="83">
        <f t="shared" si="5"/>
        <v>1241.6705307072004</v>
      </c>
      <c r="O15" s="83">
        <f t="shared" si="5"/>
        <v>1303.7540572425605</v>
      </c>
      <c r="P15" s="83">
        <f t="shared" si="5"/>
        <v>1368.9417601046885</v>
      </c>
      <c r="Q15" s="83">
        <f t="shared" si="5"/>
        <v>1423.699430508876</v>
      </c>
      <c r="R15" s="83">
        <f>R14*(1-$A$15)</f>
        <v>1452.1734191190535</v>
      </c>
    </row>
    <row r="16" spans="1:28" ht="32.25" thickBot="1" x14ac:dyDescent="0.3">
      <c r="A16" s="14" t="s">
        <v>6</v>
      </c>
      <c r="B16" s="15"/>
      <c r="C16" s="16"/>
      <c r="D16" s="16"/>
      <c r="E16" s="16"/>
      <c r="F16" s="16">
        <f t="shared" ref="F16:K16" si="6">F15/F14</f>
        <v>0.68929102460124358</v>
      </c>
      <c r="G16" s="16">
        <f t="shared" si="6"/>
        <v>0.63240670852805314</v>
      </c>
      <c r="H16" s="16">
        <f t="shared" si="6"/>
        <v>0.73719298245614051</v>
      </c>
      <c r="I16" s="16">
        <f t="shared" si="6"/>
        <v>0.73455759599332215</v>
      </c>
      <c r="J16" s="16">
        <f t="shared" si="6"/>
        <v>0.78266666666666673</v>
      </c>
      <c r="K16" s="16">
        <f t="shared" si="6"/>
        <v>0.75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643.40200445434311</v>
      </c>
      <c r="I19" s="58">
        <f>I15/(1+$C$55)^2</f>
        <v>725.23615127570474</v>
      </c>
      <c r="J19" s="58">
        <f>J15/(1+$C$55)^3</f>
        <v>790.11436673875062</v>
      </c>
      <c r="K19" s="58">
        <f>K15/(1+$C$55)^4</f>
        <v>758.82312418945855</v>
      </c>
      <c r="L19" s="58">
        <f>L15/(1+$C$55)^5</f>
        <v>760.51315341927943</v>
      </c>
      <c r="M19" s="58">
        <f>M15/(1+$C$55)^6</f>
        <v>748.0920031778362</v>
      </c>
      <c r="N19" s="58">
        <f>N15/(1+$C$55)^7</f>
        <v>735.87372250232613</v>
      </c>
      <c r="O19" s="58">
        <f>O15/(1+$C$55)^8</f>
        <v>717.02617727119764</v>
      </c>
      <c r="P19" s="58">
        <f>P15/(1+$C$55)^9</f>
        <v>698.66136426759226</v>
      </c>
      <c r="Q19" s="58">
        <f>Q15/(1+$C$55)^10</f>
        <v>674.28342505409807</v>
      </c>
      <c r="R19" s="59">
        <f>(R15/(C55-R12))/(1+C55)^10</f>
        <v>11940.435651999653</v>
      </c>
    </row>
    <row r="20" spans="1:18" x14ac:dyDescent="0.25">
      <c r="A20" s="2"/>
      <c r="C20" s="86" t="s">
        <v>44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43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32</v>
      </c>
      <c r="B23" s="36"/>
      <c r="C23" s="36"/>
      <c r="D23" s="37"/>
      <c r="E23" s="25"/>
      <c r="F23" s="36"/>
      <c r="G23" s="66" t="s">
        <v>33</v>
      </c>
      <c r="H23" s="25"/>
      <c r="I23" s="90">
        <v>1E-3</v>
      </c>
      <c r="J23" s="26" t="s">
        <v>34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35</v>
      </c>
      <c r="H25" s="28"/>
      <c r="I25" s="92">
        <v>7.6630000000000004E-2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36</v>
      </c>
      <c r="H27" s="28"/>
      <c r="I27" s="93">
        <v>0.08</v>
      </c>
      <c r="J27" s="29" t="s">
        <v>37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38</v>
      </c>
      <c r="H29" s="28"/>
      <c r="I29" s="91">
        <v>0.97</v>
      </c>
      <c r="J29" s="29" t="s">
        <v>39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40</v>
      </c>
      <c r="H31" s="28"/>
      <c r="I31" s="93">
        <v>7.7630000000000005E-2</v>
      </c>
      <c r="J31" s="29" t="s">
        <v>41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46</v>
      </c>
      <c r="H33" s="88"/>
      <c r="I33" s="89">
        <v>7.7600000000000002E-2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26</v>
      </c>
      <c r="C46" s="32"/>
      <c r="D46" s="48">
        <f>I33</f>
        <v>7.7600000000000002E-2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44631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25221.340600000003</v>
      </c>
      <c r="D49" s="52">
        <f>SUM(H19:R19)</f>
        <v>19192.46114435024</v>
      </c>
      <c r="E49" s="50" t="s">
        <v>45</v>
      </c>
    </row>
    <row r="50" spans="1:17" x14ac:dyDescent="0.25">
      <c r="A50" s="49"/>
      <c r="B50" s="50" t="s">
        <v>11</v>
      </c>
      <c r="C50" s="51">
        <v>285.14800000000002</v>
      </c>
      <c r="D50" s="51">
        <f>C50</f>
        <v>285.14800000000002</v>
      </c>
      <c r="E50" s="50"/>
    </row>
    <row r="51" spans="1:17" x14ac:dyDescent="0.25">
      <c r="A51" s="49"/>
      <c r="B51" s="50" t="s">
        <v>13</v>
      </c>
      <c r="C51" s="63">
        <v>88.45</v>
      </c>
      <c r="D51" s="63">
        <f>D49/(D50)</f>
        <v>67.307016511952526</v>
      </c>
      <c r="E51" s="50" t="s">
        <v>45</v>
      </c>
    </row>
    <row r="52" spans="1:17" x14ac:dyDescent="0.25">
      <c r="A52" s="49"/>
      <c r="B52" s="50" t="s">
        <v>2</v>
      </c>
      <c r="C52" s="50"/>
      <c r="D52" s="64">
        <f>IF(C51/D51-1&gt;0,0,C51/D51-1)*-1</f>
        <v>0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0.3141274800717524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25</v>
      </c>
      <c r="B55" s="50"/>
      <c r="C55" s="55">
        <f>D46</f>
        <v>7.7600000000000002E-2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28</v>
      </c>
      <c r="B57" s="84">
        <v>0.108</v>
      </c>
      <c r="C57" s="55"/>
      <c r="D57" s="85">
        <f>SUM(H57:Q57)*1000</f>
        <v>11653352.541445293</v>
      </c>
      <c r="E57" s="50"/>
      <c r="F57" s="1" t="s">
        <v>29</v>
      </c>
      <c r="H57" s="1">
        <f>H15/(1+$B$57)</f>
        <v>625.74909747292418</v>
      </c>
      <c r="I57" s="1">
        <f>I15/(1+$B$57)^2</f>
        <v>685.98574202713417</v>
      </c>
      <c r="J57" s="1">
        <f>J15/(1+$B$57)^3</f>
        <v>726.8477086099781</v>
      </c>
      <c r="K57" s="1">
        <f>K15/(1+$B$57)^4</f>
        <v>678.90943822004067</v>
      </c>
      <c r="L57" s="1">
        <f>L15/(1+$B$57)^5</f>
        <v>661.75288201953435</v>
      </c>
      <c r="M57" s="1">
        <f>M15/(1+$B$57)^6</f>
        <v>633.08488713060137</v>
      </c>
      <c r="N57" s="1">
        <f>N15/(1+$B$57)^7</f>
        <v>605.65882703830096</v>
      </c>
      <c r="O57" s="1">
        <f>O15/(1+$B$57)^8</f>
        <v>573.9546646121081</v>
      </c>
      <c r="P57" s="1">
        <f>P15/(1+$B$57)^9</f>
        <v>543.91010635623945</v>
      </c>
      <c r="Q57" s="1">
        <f>(R15/(B57-R12))/(1+B57)^10</f>
        <v>5917.4991879584304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24</v>
      </c>
      <c r="B59" s="25"/>
      <c r="C59" s="77">
        <v>25</v>
      </c>
      <c r="D59" s="25"/>
      <c r="E59" s="26"/>
    </row>
    <row r="60" spans="1:17" x14ac:dyDescent="0.25">
      <c r="A60" s="27" t="s">
        <v>27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Q15*C59</f>
        <v>35592.485762721903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0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0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35592.485762721903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0.41120515071755936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3.5044484114875596E-2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521AC-1AA1-410A-BA8C-FC8DDA048C1A}">
  <dimension ref="A2:AB74"/>
  <sheetViews>
    <sheetView tabSelected="1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4" t="s">
        <v>10</v>
      </c>
    </row>
    <row r="4" spans="1:28" x14ac:dyDescent="0.25">
      <c r="B4" s="24" t="s">
        <v>47</v>
      </c>
      <c r="L4" s="28"/>
      <c r="M4" s="28"/>
      <c r="N4" s="28"/>
      <c r="O4" s="28"/>
      <c r="P4" s="28"/>
      <c r="Q4" s="28"/>
      <c r="R4" s="28"/>
      <c r="S4" s="28"/>
    </row>
    <row r="5" spans="1:28" x14ac:dyDescent="0.25">
      <c r="L5" s="28"/>
      <c r="M5" s="28"/>
      <c r="N5" s="28"/>
      <c r="O5" s="28"/>
      <c r="P5" s="28"/>
      <c r="Q5" s="28"/>
      <c r="R5" s="28"/>
      <c r="S5" s="28"/>
    </row>
    <row r="6" spans="1:28" x14ac:dyDescent="0.25">
      <c r="B6" s="1" t="s">
        <v>42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31</v>
      </c>
    </row>
    <row r="11" spans="1:28" x14ac:dyDescent="0.25">
      <c r="A11" s="5"/>
      <c r="B11" s="4" t="s">
        <v>4</v>
      </c>
      <c r="C11" s="94">
        <v>1330.6610000000001</v>
      </c>
      <c r="D11" s="94">
        <v>1729.85</v>
      </c>
      <c r="E11" s="94">
        <v>2051.2579999999998</v>
      </c>
      <c r="F11" s="94">
        <v>2391.2689999999998</v>
      </c>
      <c r="G11" s="94">
        <v>2983.277</v>
      </c>
      <c r="H11" s="83">
        <v>3560.14</v>
      </c>
      <c r="I11" s="83">
        <v>4286.8599999999997</v>
      </c>
      <c r="J11" s="83">
        <v>4740</v>
      </c>
      <c r="K11" s="83">
        <f>J11*(1+K12)</f>
        <v>5214</v>
      </c>
      <c r="L11" s="83">
        <f>K11*(1+L12)</f>
        <v>5735.4000000000005</v>
      </c>
      <c r="M11" s="83">
        <f t="shared" ref="M11:R11" si="0">L11*(1+M12)</f>
        <v>6308.9400000000014</v>
      </c>
      <c r="N11" s="83">
        <f t="shared" si="0"/>
        <v>6813.655200000002</v>
      </c>
      <c r="O11" s="83">
        <f t="shared" si="0"/>
        <v>7358.7476160000024</v>
      </c>
      <c r="P11" s="83">
        <f t="shared" si="0"/>
        <v>7947.4474252800028</v>
      </c>
      <c r="Q11" s="83">
        <f t="shared" si="0"/>
        <v>8583.2432193024033</v>
      </c>
      <c r="R11" s="83">
        <f t="shared" si="0"/>
        <v>8797.8242997849629</v>
      </c>
    </row>
    <row r="12" spans="1:28" x14ac:dyDescent="0.25">
      <c r="A12" s="5"/>
      <c r="B12" s="4" t="s">
        <v>1</v>
      </c>
      <c r="C12" s="95"/>
      <c r="D12" s="95">
        <f t="shared" ref="D12" si="1">D11/C11-1</f>
        <v>0.29999301099228126</v>
      </c>
      <c r="E12" s="95">
        <f t="shared" ref="E12" si="2">E11/D11-1</f>
        <v>0.18580108101858528</v>
      </c>
      <c r="F12" s="95">
        <f t="shared" ref="F12" si="3">F11/E11-1</f>
        <v>0.16575730600441285</v>
      </c>
      <c r="G12" s="95">
        <f t="shared" ref="G12" si="4">G11/F11-1</f>
        <v>0.24757064136238971</v>
      </c>
      <c r="H12" s="62">
        <f t="shared" ref="H12" si="5">H11/G11-1</f>
        <v>0.19336555070146022</v>
      </c>
      <c r="I12" s="62">
        <f t="shared" ref="I12" si="6">I11/H11-1</f>
        <v>0.20412680400208982</v>
      </c>
      <c r="J12" s="62">
        <f t="shared" ref="J12" si="7">J11/I11-1</f>
        <v>0.1057044083548333</v>
      </c>
      <c r="K12" s="62">
        <v>0.1</v>
      </c>
      <c r="L12" s="62">
        <v>0.1</v>
      </c>
      <c r="M12" s="62">
        <v>0.1</v>
      </c>
      <c r="N12" s="62">
        <v>0.08</v>
      </c>
      <c r="O12" s="62">
        <v>0.08</v>
      </c>
      <c r="P12" s="62">
        <v>0.08</v>
      </c>
      <c r="Q12" s="62">
        <v>0.08</v>
      </c>
      <c r="R12" s="13">
        <v>2.5000000000000001E-2</v>
      </c>
    </row>
    <row r="13" spans="1:28" ht="15.95" customHeight="1" x14ac:dyDescent="0.25">
      <c r="A13" s="5"/>
      <c r="B13" s="4" t="s">
        <v>15</v>
      </c>
      <c r="C13" s="95">
        <f t="shared" ref="C13:F13" si="8">C14/C11</f>
        <v>0.2709307629817061</v>
      </c>
      <c r="D13" s="95">
        <f t="shared" si="8"/>
        <v>0.31985085412029945</v>
      </c>
      <c r="E13" s="95">
        <f t="shared" si="8"/>
        <v>0.31466251441798154</v>
      </c>
      <c r="F13" s="95">
        <f t="shared" si="8"/>
        <v>0.3118490642416224</v>
      </c>
      <c r="G13" s="95">
        <f>G14/G11</f>
        <v>0.28548438512414365</v>
      </c>
      <c r="H13" s="82">
        <v>0.28499999999999998</v>
      </c>
      <c r="I13" s="82">
        <v>0.29949999999999999</v>
      </c>
      <c r="J13" s="82">
        <v>0.3266</v>
      </c>
      <c r="K13" s="82">
        <v>0.32</v>
      </c>
      <c r="L13" s="82">
        <v>0.32</v>
      </c>
      <c r="M13" s="82">
        <v>0.33500000000000002</v>
      </c>
      <c r="N13" s="82">
        <v>0.34</v>
      </c>
      <c r="O13" s="82">
        <v>0.34</v>
      </c>
      <c r="P13" s="82">
        <v>0.34499999999999997</v>
      </c>
      <c r="Q13" s="82">
        <v>0.35</v>
      </c>
      <c r="R13" s="82">
        <v>0.35</v>
      </c>
    </row>
    <row r="14" spans="1:28" ht="17.100000000000001" customHeight="1" x14ac:dyDescent="0.25">
      <c r="A14" s="5"/>
      <c r="B14" s="4" t="s">
        <v>16</v>
      </c>
      <c r="C14" s="94">
        <v>360.517</v>
      </c>
      <c r="D14" s="94">
        <v>553.29399999999998</v>
      </c>
      <c r="E14" s="94">
        <v>645.45399999999995</v>
      </c>
      <c r="F14" s="94">
        <v>745.71500000000003</v>
      </c>
      <c r="G14" s="94">
        <v>851.67899999999997</v>
      </c>
      <c r="H14" s="83">
        <f>H11*H13</f>
        <v>1014.6398999999999</v>
      </c>
      <c r="I14" s="83">
        <f>I11*I13</f>
        <v>1283.9145699999999</v>
      </c>
      <c r="J14" s="83">
        <f>J11*J13</f>
        <v>1548.0840000000001</v>
      </c>
      <c r="K14" s="83">
        <f>K11*K13</f>
        <v>1668.48</v>
      </c>
      <c r="L14" s="83">
        <f t="shared" ref="L14:R14" si="9">L11*L13</f>
        <v>1835.3280000000002</v>
      </c>
      <c r="M14" s="83">
        <f t="shared" si="9"/>
        <v>2113.4949000000006</v>
      </c>
      <c r="N14" s="83">
        <f t="shared" si="9"/>
        <v>2316.6427680000006</v>
      </c>
      <c r="O14" s="83">
        <f>O11*O13</f>
        <v>2501.9741894400008</v>
      </c>
      <c r="P14" s="83">
        <f t="shared" si="9"/>
        <v>2741.8693617216009</v>
      </c>
      <c r="Q14" s="83">
        <f t="shared" si="9"/>
        <v>3004.1351267558412</v>
      </c>
      <c r="R14" s="83">
        <f t="shared" si="9"/>
        <v>3079.2385049247368</v>
      </c>
    </row>
    <row r="15" spans="1:28" ht="16.5" thickBot="1" x14ac:dyDescent="0.3">
      <c r="A15" s="12">
        <v>0.25</v>
      </c>
      <c r="B15" s="4" t="s">
        <v>30</v>
      </c>
      <c r="C15" s="94">
        <v>350.14800000000002</v>
      </c>
      <c r="D15" s="94">
        <v>477.93900000000002</v>
      </c>
      <c r="E15" s="94">
        <v>453.83800000000002</v>
      </c>
      <c r="F15" s="94">
        <v>162.32900000000001</v>
      </c>
      <c r="G15" s="94">
        <v>277.72300000000001</v>
      </c>
      <c r="H15" s="83">
        <f>H11*0.2101</f>
        <v>747.98541399999999</v>
      </c>
      <c r="I15" s="83">
        <f>I11*0.22</f>
        <v>943.10919999999999</v>
      </c>
      <c r="J15" s="83">
        <f>J11*0.2348</f>
        <v>1112.952</v>
      </c>
      <c r="K15" s="83">
        <f t="shared" ref="K15:Q15" si="10">K14*(1-$A$15)</f>
        <v>1251.3600000000001</v>
      </c>
      <c r="L15" s="83">
        <f t="shared" si="10"/>
        <v>1376.4960000000001</v>
      </c>
      <c r="M15" s="83">
        <f t="shared" si="10"/>
        <v>1585.1211750000004</v>
      </c>
      <c r="N15" s="83">
        <f t="shared" si="10"/>
        <v>1737.4820760000005</v>
      </c>
      <c r="O15" s="83">
        <f t="shared" si="10"/>
        <v>1876.4806420800005</v>
      </c>
      <c r="P15" s="83">
        <f t="shared" si="10"/>
        <v>2056.4020212912005</v>
      </c>
      <c r="Q15" s="83">
        <f t="shared" si="10"/>
        <v>2253.1013450668806</v>
      </c>
      <c r="R15" s="83">
        <f>R14*(1-$A$15)</f>
        <v>2309.4288786935526</v>
      </c>
    </row>
    <row r="16" spans="1:28" ht="32.25" thickBot="1" x14ac:dyDescent="0.3">
      <c r="A16" s="14" t="s">
        <v>6</v>
      </c>
      <c r="B16" s="15"/>
      <c r="C16" s="16"/>
      <c r="D16" s="16"/>
      <c r="E16" s="16"/>
      <c r="F16" s="16">
        <f t="shared" ref="F16:K16" si="11">F15/F14</f>
        <v>0.21768235854180215</v>
      </c>
      <c r="G16" s="16">
        <f t="shared" si="11"/>
        <v>0.32608881984879284</v>
      </c>
      <c r="H16" s="16">
        <f t="shared" si="11"/>
        <v>0.7371929824561404</v>
      </c>
      <c r="I16" s="16">
        <f t="shared" si="11"/>
        <v>0.73455759599332227</v>
      </c>
      <c r="J16" s="16">
        <f t="shared" si="11"/>
        <v>0.71892222902633185</v>
      </c>
      <c r="K16" s="16">
        <f t="shared" si="11"/>
        <v>0.75000000000000011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6" t="s">
        <v>12</v>
      </c>
      <c r="G19" s="57"/>
      <c r="H19" s="58">
        <f>H15/(1+$C$55)</f>
        <v>694.12157943578325</v>
      </c>
      <c r="I19" s="58">
        <f>I15/(1+$C$55)^2</f>
        <v>812.16976161383707</v>
      </c>
      <c r="J19" s="58">
        <f>J15/(1+$C$55)^3</f>
        <v>889.413436482777</v>
      </c>
      <c r="K19" s="58">
        <f>K15/(1+$C$55)^4</f>
        <v>928.00846489364494</v>
      </c>
      <c r="L19" s="58">
        <f>L15/(1+$C$55)^5</f>
        <v>947.29891553731386</v>
      </c>
      <c r="M19" s="58">
        <f>M15/(1+$C$55)^6</f>
        <v>1012.3180284181872</v>
      </c>
      <c r="N19" s="58">
        <f>N15/(1+$C$55)^7</f>
        <v>1029.7155094105153</v>
      </c>
      <c r="O19" s="58">
        <f>O15/(1+$C$55)^8</f>
        <v>1032.0088624381558</v>
      </c>
      <c r="P19" s="58">
        <f>P15/(1+$C$55)^9</f>
        <v>1049.5177249674027</v>
      </c>
      <c r="Q19" s="58">
        <f>Q15/(1+$C$55)^10</f>
        <v>1067.0994589094346</v>
      </c>
      <c r="R19" s="59">
        <f>(R15/(C55-R12))/(1+C55)^10</f>
        <v>20794.238505364458</v>
      </c>
    </row>
    <row r="20" spans="1:18" x14ac:dyDescent="0.25">
      <c r="A20" s="2"/>
      <c r="C20" s="86" t="s">
        <v>44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43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5" t="s">
        <v>32</v>
      </c>
      <c r="B23" s="36"/>
      <c r="C23" s="36"/>
      <c r="D23" s="37"/>
      <c r="E23" s="25"/>
      <c r="F23" s="36"/>
      <c r="G23" s="66" t="s">
        <v>33</v>
      </c>
      <c r="H23" s="25"/>
      <c r="I23" s="90">
        <v>1E-3</v>
      </c>
      <c r="J23" s="26" t="s">
        <v>34</v>
      </c>
    </row>
    <row r="24" spans="1:18" x14ac:dyDescent="0.25">
      <c r="A24" s="38"/>
      <c r="B24" s="39"/>
      <c r="C24" s="39"/>
      <c r="D24" s="40"/>
      <c r="E24" s="39"/>
      <c r="F24" s="39"/>
      <c r="G24" s="27"/>
      <c r="H24" s="28"/>
      <c r="I24" s="91"/>
      <c r="J24" s="29"/>
    </row>
    <row r="25" spans="1:18" x14ac:dyDescent="0.25">
      <c r="A25" s="38"/>
      <c r="B25" s="39"/>
      <c r="C25" s="39"/>
      <c r="D25" s="41"/>
      <c r="E25" s="28"/>
      <c r="F25" s="39"/>
      <c r="G25" s="27" t="s">
        <v>35</v>
      </c>
      <c r="H25" s="28"/>
      <c r="I25" s="92">
        <v>7.6630000000000004E-2</v>
      </c>
      <c r="J25" s="29"/>
    </row>
    <row r="26" spans="1:18" x14ac:dyDescent="0.25">
      <c r="A26" s="38"/>
      <c r="B26" s="39"/>
      <c r="C26" s="39"/>
      <c r="D26" s="41"/>
      <c r="E26" s="28"/>
      <c r="F26" s="39"/>
      <c r="G26" s="27"/>
      <c r="H26" s="28"/>
      <c r="I26" s="91"/>
      <c r="J26" s="29"/>
    </row>
    <row r="27" spans="1:18" x14ac:dyDescent="0.25">
      <c r="A27" s="38"/>
      <c r="B27" s="39"/>
      <c r="C27" s="39"/>
      <c r="D27" s="41"/>
      <c r="E27" s="28"/>
      <c r="F27" s="39"/>
      <c r="G27" s="27" t="s">
        <v>36</v>
      </c>
      <c r="H27" s="28"/>
      <c r="I27" s="93">
        <v>0.08</v>
      </c>
      <c r="J27" s="29" t="s">
        <v>37</v>
      </c>
    </row>
    <row r="28" spans="1:18" x14ac:dyDescent="0.25">
      <c r="A28" s="38"/>
      <c r="B28" s="39"/>
      <c r="C28" s="39"/>
      <c r="D28" s="42"/>
      <c r="E28" s="28"/>
      <c r="F28" s="39"/>
      <c r="G28" s="27"/>
      <c r="H28" s="28"/>
      <c r="I28" s="91"/>
      <c r="J28" s="29"/>
    </row>
    <row r="29" spans="1:18" x14ac:dyDescent="0.25">
      <c r="A29" s="38"/>
      <c r="B29" s="39"/>
      <c r="C29" s="39"/>
      <c r="D29" s="42"/>
      <c r="E29" s="28"/>
      <c r="F29" s="39"/>
      <c r="G29" s="27" t="s">
        <v>38</v>
      </c>
      <c r="H29" s="28"/>
      <c r="I29" s="91">
        <v>0.97</v>
      </c>
      <c r="J29" s="29" t="s">
        <v>39</v>
      </c>
    </row>
    <row r="30" spans="1:18" x14ac:dyDescent="0.25">
      <c r="A30" s="38"/>
      <c r="B30" s="39"/>
      <c r="C30" s="39"/>
      <c r="D30" s="43"/>
      <c r="E30" s="28"/>
      <c r="F30" s="39"/>
      <c r="G30" s="27"/>
      <c r="H30" s="28"/>
      <c r="I30" s="91"/>
      <c r="J30" s="29"/>
    </row>
    <row r="31" spans="1:18" x14ac:dyDescent="0.25">
      <c r="A31" s="38"/>
      <c r="B31" s="39"/>
      <c r="C31" s="39"/>
      <c r="D31" s="40"/>
      <c r="E31" s="28"/>
      <c r="F31" s="39"/>
      <c r="G31" s="27" t="s">
        <v>40</v>
      </c>
      <c r="H31" s="28"/>
      <c r="I31" s="93">
        <v>7.7630000000000005E-2</v>
      </c>
      <c r="J31" s="29" t="s">
        <v>41</v>
      </c>
    </row>
    <row r="32" spans="1:18" x14ac:dyDescent="0.25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5">
      <c r="A33" s="27"/>
      <c r="B33" s="28"/>
      <c r="C33" s="28"/>
      <c r="D33" s="28"/>
      <c r="E33" s="28"/>
      <c r="F33" s="28"/>
      <c r="G33" s="87" t="s">
        <v>46</v>
      </c>
      <c r="H33" s="88"/>
      <c r="I33" s="89">
        <v>7.7600000000000002E-2</v>
      </c>
      <c r="J33" s="29"/>
    </row>
    <row r="34" spans="1:10" x14ac:dyDescent="0.25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5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5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5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5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5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5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5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5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5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5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5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6.5" thickBot="1" x14ac:dyDescent="0.3">
      <c r="A46" s="31"/>
      <c r="B46" s="32" t="s">
        <v>26</v>
      </c>
      <c r="C46" s="32"/>
      <c r="D46" s="48">
        <f>I33</f>
        <v>7.7600000000000002E-2</v>
      </c>
      <c r="E46" s="32"/>
      <c r="F46" s="32"/>
      <c r="G46" s="31"/>
      <c r="H46" s="32"/>
      <c r="I46" s="32"/>
      <c r="J46" s="33"/>
    </row>
    <row r="48" spans="1:10" x14ac:dyDescent="0.25">
      <c r="A48" s="17"/>
      <c r="B48" s="18"/>
      <c r="C48" s="19">
        <v>44631</v>
      </c>
      <c r="D48" s="20" t="s">
        <v>3</v>
      </c>
      <c r="E48" s="21"/>
      <c r="F48" s="22"/>
      <c r="G48" s="23"/>
      <c r="H48" s="23"/>
      <c r="I48" s="23"/>
    </row>
    <row r="49" spans="1:17" x14ac:dyDescent="0.25">
      <c r="A49" s="49" t="s">
        <v>0</v>
      </c>
      <c r="B49" s="50" t="s">
        <v>5</v>
      </c>
      <c r="C49" s="81">
        <f>C50*C51</f>
        <v>25221.340600000003</v>
      </c>
      <c r="D49" s="52">
        <f>SUM(H19:R19)</f>
        <v>30255.910247471511</v>
      </c>
      <c r="E49" s="50" t="s">
        <v>45</v>
      </c>
    </row>
    <row r="50" spans="1:17" x14ac:dyDescent="0.25">
      <c r="A50" s="49"/>
      <c r="B50" s="50" t="s">
        <v>11</v>
      </c>
      <c r="C50" s="51">
        <v>285.14800000000002</v>
      </c>
      <c r="D50" s="51">
        <f>C50</f>
        <v>285.14800000000002</v>
      </c>
      <c r="E50" s="50"/>
    </row>
    <row r="51" spans="1:17" x14ac:dyDescent="0.25">
      <c r="A51" s="49"/>
      <c r="B51" s="50" t="s">
        <v>13</v>
      </c>
      <c r="C51" s="63">
        <v>88.45</v>
      </c>
      <c r="D51" s="63">
        <f>D49/(D50)</f>
        <v>106.10598793423594</v>
      </c>
      <c r="E51" s="50" t="s">
        <v>45</v>
      </c>
    </row>
    <row r="52" spans="1:17" x14ac:dyDescent="0.25">
      <c r="A52" s="49"/>
      <c r="B52" s="50" t="s">
        <v>2</v>
      </c>
      <c r="C52" s="50"/>
      <c r="D52" s="64">
        <f>IF(C51/D51-1&gt;0,0,C51/D51-1)*-1</f>
        <v>0.16639954330550177</v>
      </c>
      <c r="E52" s="50"/>
    </row>
    <row r="53" spans="1:17" x14ac:dyDescent="0.25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5">
      <c r="A54" s="50"/>
      <c r="B54" s="50"/>
      <c r="C54" s="50"/>
      <c r="D54" s="53"/>
      <c r="E54" s="53"/>
    </row>
    <row r="55" spans="1:17" x14ac:dyDescent="0.25">
      <c r="A55" s="53" t="s">
        <v>25</v>
      </c>
      <c r="B55" s="50"/>
      <c r="C55" s="55">
        <f>D46</f>
        <v>7.7600000000000002E-2</v>
      </c>
      <c r="D55" s="54"/>
      <c r="E55" s="50"/>
      <c r="J55" s="80"/>
    </row>
    <row r="56" spans="1:17" x14ac:dyDescent="0.25">
      <c r="A56" s="53"/>
      <c r="B56" s="50"/>
      <c r="C56" s="55"/>
      <c r="D56" s="54"/>
      <c r="E56" s="50"/>
    </row>
    <row r="57" spans="1:17" hidden="1" x14ac:dyDescent="0.25">
      <c r="A57" s="53" t="s">
        <v>28</v>
      </c>
      <c r="B57" s="84">
        <v>0.108</v>
      </c>
      <c r="C57" s="55"/>
      <c r="D57" s="85">
        <f>SUM(H57:Q57)*1000</f>
        <v>17241046.907691658</v>
      </c>
      <c r="E57" s="50"/>
      <c r="F57" s="1" t="s">
        <v>29</v>
      </c>
      <c r="H57" s="1">
        <f>H15/(1+$B$57)</f>
        <v>675.07708844765341</v>
      </c>
      <c r="I57" s="1">
        <f>I15/(1+$B$57)^2</f>
        <v>768.21443000690726</v>
      </c>
      <c r="J57" s="1">
        <f>J15/(1+$B$57)^3</f>
        <v>818.1956252520414</v>
      </c>
      <c r="K57" s="1">
        <f>K15/(1+$B$57)^4</f>
        <v>830.27741970483703</v>
      </c>
      <c r="L57" s="1">
        <f>L15/(1+$B$57)^5</f>
        <v>824.2826368910836</v>
      </c>
      <c r="M57" s="1">
        <f>M15/(1+$B$57)^6</f>
        <v>856.69040978780561</v>
      </c>
      <c r="N57" s="1">
        <f>N15/(1+$B$57)^7</f>
        <v>847.50449505383426</v>
      </c>
      <c r="O57" s="1">
        <f>O15/(1+$B$57)^8</f>
        <v>826.08741395139043</v>
      </c>
      <c r="P57" s="1">
        <f>P15/(1+$B$57)^9</f>
        <v>817.05290517702281</v>
      </c>
      <c r="Q57" s="1">
        <f>(R15/(B57-R12))/(1+B57)^10</f>
        <v>9977.6644834190793</v>
      </c>
    </row>
    <row r="58" spans="1:17" ht="16.5" thickBot="1" x14ac:dyDescent="0.3">
      <c r="A58" s="24"/>
      <c r="C58" s="74"/>
      <c r="D58" s="75"/>
    </row>
    <row r="59" spans="1:17" x14ac:dyDescent="0.25">
      <c r="A59" s="66" t="s">
        <v>24</v>
      </c>
      <c r="B59" s="25"/>
      <c r="C59" s="77">
        <v>30</v>
      </c>
      <c r="D59" s="25"/>
      <c r="E59" s="26"/>
    </row>
    <row r="60" spans="1:17" x14ac:dyDescent="0.25">
      <c r="A60" s="27" t="s">
        <v>27</v>
      </c>
      <c r="B60" s="28"/>
      <c r="C60" s="78"/>
      <c r="D60" s="28"/>
      <c r="E60" s="29"/>
    </row>
    <row r="61" spans="1:17" x14ac:dyDescent="0.25">
      <c r="A61" s="27"/>
      <c r="B61" s="28"/>
      <c r="C61" s="78"/>
      <c r="D61" s="28"/>
      <c r="E61" s="29"/>
    </row>
    <row r="62" spans="1:17" x14ac:dyDescent="0.25">
      <c r="A62" s="27" t="s">
        <v>17</v>
      </c>
      <c r="B62" s="28"/>
      <c r="C62" s="78"/>
      <c r="D62" s="28"/>
      <c r="E62" s="67">
        <f>Q15*C59</f>
        <v>67593.040352006414</v>
      </c>
    </row>
    <row r="63" spans="1:17" x14ac:dyDescent="0.25">
      <c r="A63" s="27"/>
      <c r="B63" s="28"/>
      <c r="C63" s="78"/>
      <c r="D63" s="28"/>
      <c r="E63" s="29"/>
    </row>
    <row r="64" spans="1:17" x14ac:dyDescent="0.25">
      <c r="A64" s="27" t="s">
        <v>18</v>
      </c>
      <c r="B64" s="28"/>
      <c r="C64" s="79">
        <v>0</v>
      </c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 t="s">
        <v>19</v>
      </c>
      <c r="B66" s="28"/>
      <c r="C66" s="28"/>
      <c r="D66" s="28"/>
      <c r="E66" s="67">
        <f>SUM(H15:R15)*C64</f>
        <v>0</v>
      </c>
    </row>
    <row r="67" spans="1:5" x14ac:dyDescent="0.25">
      <c r="A67" s="27"/>
      <c r="B67" s="28"/>
      <c r="C67" s="28"/>
      <c r="D67" s="28"/>
      <c r="E67" s="68"/>
    </row>
    <row r="68" spans="1:5" x14ac:dyDescent="0.25">
      <c r="A68" s="69" t="s">
        <v>20</v>
      </c>
      <c r="B68" s="28"/>
      <c r="C68" s="28"/>
      <c r="D68" s="28"/>
      <c r="E68" s="70">
        <f>(E66*0.25)*-1</f>
        <v>0</v>
      </c>
    </row>
    <row r="69" spans="1:5" x14ac:dyDescent="0.25">
      <c r="A69" s="27"/>
      <c r="B69" s="28"/>
      <c r="C69" s="47"/>
      <c r="D69" s="47"/>
      <c r="E69" s="71"/>
    </row>
    <row r="70" spans="1:5" x14ac:dyDescent="0.25">
      <c r="A70" s="27" t="s">
        <v>21</v>
      </c>
      <c r="B70" s="28"/>
      <c r="C70" s="28"/>
      <c r="D70" s="28"/>
      <c r="E70" s="67">
        <f>SUM(E62:E68)</f>
        <v>67593.040352006414</v>
      </c>
    </row>
    <row r="71" spans="1:5" x14ac:dyDescent="0.25">
      <c r="A71" s="27"/>
      <c r="B71" s="28"/>
      <c r="C71" s="28"/>
      <c r="D71" s="28"/>
      <c r="E71" s="67"/>
    </row>
    <row r="72" spans="1:5" x14ac:dyDescent="0.25">
      <c r="A72" s="27" t="s">
        <v>22</v>
      </c>
      <c r="B72" s="28"/>
      <c r="C72" s="28"/>
      <c r="D72" s="28"/>
      <c r="E72" s="71">
        <f>E70/C49-1</f>
        <v>1.6799939552779524</v>
      </c>
    </row>
    <row r="73" spans="1:5" x14ac:dyDescent="0.25">
      <c r="A73" s="27"/>
      <c r="B73" s="28"/>
      <c r="C73" s="28"/>
      <c r="D73" s="28"/>
      <c r="E73" s="29"/>
    </row>
    <row r="74" spans="1:5" ht="16.5" thickBot="1" x14ac:dyDescent="0.3">
      <c r="A74" s="72" t="s">
        <v>23</v>
      </c>
      <c r="B74" s="73"/>
      <c r="C74" s="73"/>
      <c r="D74" s="73"/>
      <c r="E74" s="76">
        <f>(E70/C49)^(1/10)-1</f>
        <v>0.10360429361017021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Christian Lämmle</cp:lastModifiedBy>
  <cp:lastPrinted>2021-08-03T18:16:56Z</cp:lastPrinted>
  <dcterms:created xsi:type="dcterms:W3CDTF">2020-02-09T06:30:31Z</dcterms:created>
  <dcterms:modified xsi:type="dcterms:W3CDTF">2022-03-11T21:13:12Z</dcterms:modified>
</cp:coreProperties>
</file>