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b4952b37a507c8/Desktop/WirLiebenAktien/Aktienanalysen/Vonovia/"/>
    </mc:Choice>
  </mc:AlternateContent>
  <xr:revisionPtr revIDLastSave="55" documentId="11_CBE3FA01D4CFF901AB38938E09AC09EC0E5F35C3" xr6:coauthVersionLast="47" xr6:coauthVersionMax="47" xr10:uidLastSave="{1EDF9A9E-A21A-4BC7-894E-79C22FA26799}"/>
  <bookViews>
    <workbookView xWindow="-120" yWindow="-120" windowWidth="29040" windowHeight="15720" activeTab="1" xr2:uid="{00000000-000D-0000-FFFF-FFFF00000000}"/>
  </bookViews>
  <sheets>
    <sheet name="Pessimistisch" sheetId="29" r:id="rId1"/>
    <sheet name="Optimistisch" sheetId="2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7" i="27" l="1"/>
  <c r="M17" i="27"/>
  <c r="N17" i="27" s="1"/>
  <c r="O17" i="27" s="1"/>
  <c r="P17" i="27" s="1"/>
  <c r="K18" i="27"/>
  <c r="J18" i="27"/>
  <c r="I18" i="27"/>
  <c r="H18" i="27"/>
  <c r="L18" i="27"/>
  <c r="E62" i="29"/>
  <c r="N17" i="29"/>
  <c r="O17" i="29" s="1"/>
  <c r="P17" i="29" s="1"/>
  <c r="Q17" i="29" s="1"/>
  <c r="M17" i="29"/>
  <c r="L17" i="29"/>
  <c r="I18" i="29"/>
  <c r="J18" i="29"/>
  <c r="K18" i="29"/>
  <c r="L18" i="29"/>
  <c r="H18" i="29"/>
  <c r="D50" i="29"/>
  <c r="C49" i="29"/>
  <c r="I31" i="29"/>
  <c r="I33" i="29" s="1"/>
  <c r="D46" i="29" s="1"/>
  <c r="C55" i="29" s="1"/>
  <c r="I25" i="29"/>
  <c r="F16" i="29"/>
  <c r="K15" i="29"/>
  <c r="K57" i="29" s="1"/>
  <c r="J15" i="29"/>
  <c r="J57" i="29" s="1"/>
  <c r="I15" i="29"/>
  <c r="I57" i="29" s="1"/>
  <c r="H15" i="29"/>
  <c r="H57" i="29" s="1"/>
  <c r="G15" i="29"/>
  <c r="G16" i="29" s="1"/>
  <c r="K14" i="29"/>
  <c r="J14" i="29"/>
  <c r="I14" i="29"/>
  <c r="H14" i="29"/>
  <c r="G13" i="29"/>
  <c r="F13" i="29"/>
  <c r="E13" i="29"/>
  <c r="D13" i="29"/>
  <c r="C13" i="29"/>
  <c r="K12" i="29"/>
  <c r="J12" i="29"/>
  <c r="I12" i="29"/>
  <c r="H12" i="29"/>
  <c r="G12" i="29"/>
  <c r="F12" i="29"/>
  <c r="E12" i="29"/>
  <c r="D12" i="29"/>
  <c r="L11" i="29"/>
  <c r="M11" i="29" s="1"/>
  <c r="G15" i="27"/>
  <c r="I31" i="27"/>
  <c r="I33" i="27" s="1"/>
  <c r="D46" i="27" s="1"/>
  <c r="C55" i="27" s="1"/>
  <c r="I25" i="27"/>
  <c r="H12" i="27"/>
  <c r="I12" i="27"/>
  <c r="J12" i="27"/>
  <c r="K12" i="27"/>
  <c r="H15" i="27"/>
  <c r="I15" i="27"/>
  <c r="J15" i="27"/>
  <c r="K15" i="27"/>
  <c r="J14" i="27"/>
  <c r="J16" i="27" s="1"/>
  <c r="I14" i="27"/>
  <c r="H14" i="27"/>
  <c r="C13" i="27"/>
  <c r="D13" i="27"/>
  <c r="E13" i="27"/>
  <c r="F13" i="27"/>
  <c r="G13" i="27"/>
  <c r="D12" i="27"/>
  <c r="E12" i="27"/>
  <c r="F12" i="27"/>
  <c r="D50" i="27"/>
  <c r="C49" i="27"/>
  <c r="F16" i="27"/>
  <c r="G16" i="27"/>
  <c r="G12" i="27"/>
  <c r="L11" i="27"/>
  <c r="J57" i="27"/>
  <c r="K14" i="27"/>
  <c r="Q17" i="27" l="1"/>
  <c r="N18" i="29"/>
  <c r="M18" i="29"/>
  <c r="H16" i="29"/>
  <c r="H19" i="29"/>
  <c r="M14" i="29"/>
  <c r="M15" i="29" s="1"/>
  <c r="N11" i="29"/>
  <c r="J16" i="29"/>
  <c r="L14" i="29"/>
  <c r="L15" i="29" s="1"/>
  <c r="I19" i="29"/>
  <c r="J19" i="29"/>
  <c r="K19" i="29"/>
  <c r="I16" i="29"/>
  <c r="K16" i="29"/>
  <c r="J19" i="27"/>
  <c r="H19" i="27"/>
  <c r="L14" i="27"/>
  <c r="L15" i="27" s="1"/>
  <c r="M11" i="27"/>
  <c r="K19" i="27"/>
  <c r="K16" i="27"/>
  <c r="K57" i="27"/>
  <c r="I19" i="27"/>
  <c r="I16" i="27"/>
  <c r="I57" i="27"/>
  <c r="H16" i="27"/>
  <c r="H57" i="27"/>
  <c r="M18" i="27" l="1"/>
  <c r="O18" i="29"/>
  <c r="L19" i="29"/>
  <c r="L57" i="29"/>
  <c r="O11" i="29"/>
  <c r="N14" i="29"/>
  <c r="N15" i="29" s="1"/>
  <c r="M57" i="29"/>
  <c r="M19" i="29"/>
  <c r="M14" i="27"/>
  <c r="M15" i="27" s="1"/>
  <c r="N11" i="27"/>
  <c r="L57" i="27"/>
  <c r="L19" i="27"/>
  <c r="N18" i="27" l="1"/>
  <c r="Q18" i="29"/>
  <c r="P18" i="29"/>
  <c r="N57" i="29"/>
  <c r="N19" i="29"/>
  <c r="P11" i="29"/>
  <c r="O14" i="29"/>
  <c r="O15" i="29" s="1"/>
  <c r="O11" i="27"/>
  <c r="N14" i="27"/>
  <c r="N15" i="27" s="1"/>
  <c r="M57" i="27"/>
  <c r="M19" i="27"/>
  <c r="O18" i="27" l="1"/>
  <c r="O19" i="29"/>
  <c r="O57" i="29"/>
  <c r="Q11" i="29"/>
  <c r="P14" i="29"/>
  <c r="P15" i="29" s="1"/>
  <c r="P11" i="27"/>
  <c r="O14" i="27"/>
  <c r="O15" i="27" s="1"/>
  <c r="N57" i="27"/>
  <c r="N19" i="27"/>
  <c r="P18" i="27" l="1"/>
  <c r="Q18" i="27"/>
  <c r="E62" i="27" s="1"/>
  <c r="R11" i="29"/>
  <c r="R14" i="29" s="1"/>
  <c r="R15" i="29" s="1"/>
  <c r="Q14" i="29"/>
  <c r="Q15" i="29" s="1"/>
  <c r="P19" i="29"/>
  <c r="P57" i="29"/>
  <c r="D44" i="29"/>
  <c r="D41" i="29"/>
  <c r="D40" i="29"/>
  <c r="D42" i="29"/>
  <c r="O57" i="27"/>
  <c r="O19" i="27"/>
  <c r="P14" i="27"/>
  <c r="P15" i="27" s="1"/>
  <c r="Q11" i="27"/>
  <c r="Q19" i="29" l="1"/>
  <c r="Q57" i="29"/>
  <c r="D57" i="29" s="1"/>
  <c r="R19" i="29"/>
  <c r="D49" i="29" s="1"/>
  <c r="D51" i="29" s="1"/>
  <c r="E66" i="29"/>
  <c r="E68" i="29" s="1"/>
  <c r="D43" i="29"/>
  <c r="Q14" i="27"/>
  <c r="Q15" i="27" s="1"/>
  <c r="R11" i="27"/>
  <c r="R14" i="27" s="1"/>
  <c r="R15" i="27" s="1"/>
  <c r="D44" i="27" s="1"/>
  <c r="P57" i="27"/>
  <c r="P19" i="27"/>
  <c r="D41" i="27" l="1"/>
  <c r="D53" i="29"/>
  <c r="D52" i="29"/>
  <c r="E70" i="29"/>
  <c r="E66" i="27"/>
  <c r="E68" i="27" s="1"/>
  <c r="Q57" i="27"/>
  <c r="D57" i="27" s="1"/>
  <c r="R19" i="27"/>
  <c r="D42" i="27"/>
  <c r="Q19" i="27"/>
  <c r="D40" i="27"/>
  <c r="D43" i="27"/>
  <c r="E74" i="29" l="1"/>
  <c r="E72" i="29"/>
  <c r="E70" i="27"/>
  <c r="E72" i="27" s="1"/>
  <c r="D49" i="27"/>
  <c r="D51" i="27" s="1"/>
  <c r="E74" i="27" l="1"/>
  <c r="D52" i="27"/>
  <c r="D53" i="27"/>
</calcChain>
</file>

<file path=xl/sharedStrings.xml><?xml version="1.0" encoding="utf-8"?>
<sst xmlns="http://schemas.openxmlformats.org/spreadsheetml/2006/main" count="102" uniqueCount="51">
  <si>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</si>
  <si>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</si>
  <si>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</si>
  <si>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</si>
  <si>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</si>
  <si>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</si>
  <si>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</si>
  <si>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</si>
  <si>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</si>
  <si>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</si>
  <si>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</si>
  <si>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</si>
  <si>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</si>
  <si>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</si>
  <si>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</si>
  <si>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</si>
  <si>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</si>
  <si>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>Konzerngewinn x multiple</t>
  </si>
  <si>
    <t xml:space="preserve">Ausschüttungsquote </t>
  </si>
  <si>
    <t xml:space="preserve">Ausgeschüttete Gewinne </t>
  </si>
  <si>
    <t>Quellensteuer</t>
  </si>
  <si>
    <t>Gesamtwert 2031</t>
  </si>
  <si>
    <t>Steigerung Gesamt bis 2031 in Prozent</t>
  </si>
  <si>
    <t>Renditeerwartung bis 2031 pro Jahr</t>
  </si>
  <si>
    <t>Eigenkapitalzins</t>
  </si>
  <si>
    <t>EK-Zins</t>
  </si>
  <si>
    <t xml:space="preserve">Umsatzmultiple </t>
  </si>
  <si>
    <t>Nullzinsmarkterwartung:</t>
  </si>
  <si>
    <t>Abgezinster Gewinn in Mrd. USD:</t>
  </si>
  <si>
    <t xml:space="preserve">Gewinn </t>
  </si>
  <si>
    <t>2032ff.</t>
  </si>
  <si>
    <t>Eigenkapitalverzinsung</t>
  </si>
  <si>
    <t>Risikoloser Basiszins:</t>
  </si>
  <si>
    <t>rF</t>
  </si>
  <si>
    <t>Risikoprämie:</t>
  </si>
  <si>
    <t>Marktrendite:</t>
  </si>
  <si>
    <t>rM</t>
  </si>
  <si>
    <t>Beta Faktor (Consumer Services):</t>
  </si>
  <si>
    <t>ß</t>
  </si>
  <si>
    <t xml:space="preserve">Eigenkapitalkosten: </t>
  </si>
  <si>
    <t>rE</t>
  </si>
  <si>
    <t xml:space="preserve">Alle Angaben in Mio. </t>
  </si>
  <si>
    <t>(ab 2025)</t>
  </si>
  <si>
    <t>Keine Rundung</t>
  </si>
  <si>
    <t>EUR</t>
  </si>
  <si>
    <t>Optimistische Annahmen für Vonovia</t>
  </si>
  <si>
    <t>Pessimistische Annahmen für Vonovia</t>
  </si>
  <si>
    <t>15 % Abschlag vom EBIT für Zins und Steuern</t>
  </si>
  <si>
    <t>FFO je Aktie</t>
  </si>
  <si>
    <t>FFO gesamt</t>
  </si>
  <si>
    <t>FFO Multiple in 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</si>
</sst>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7" fillId="2" borderId="0" xfId="0" applyFont="1" applyFill="1"/>
    <xf numFmtId="9" fontId="7" fillId="2" borderId="0" xfId="1" applyFont="1" applyFill="1"/>
    <xf numFmtId="0" fontId="0" fillId="4" borderId="0" xfId="0" applyFill="1"/>
    <xf numFmtId="0" fontId="3" fillId="4" borderId="0" xfId="0" applyFont="1" applyFill="1"/>
    <xf numFmtId="0" fontId="2" fillId="4" borderId="0" xfId="0" applyFont="1" applyFill="1"/>
    <xf numFmtId="0" fontId="3" fillId="5" borderId="0" xfId="0" applyFont="1" applyFill="1"/>
    <xf numFmtId="9" fontId="1" fillId="6" borderId="0" xfId="1" applyFont="1" applyFill="1"/>
    <xf numFmtId="165" fontId="1" fillId="7" borderId="0" xfId="1" applyNumberFormat="1" applyFont="1" applyFill="1"/>
    <xf numFmtId="0" fontId="0" fillId="2" borderId="1" xfId="0" applyFill="1" applyBorder="1" applyAlignment="1">
      <alignment wrapText="1"/>
    </xf>
    <xf numFmtId="0" fontId="6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0" fontId="8" fillId="6" borderId="0" xfId="0" applyFont="1" applyFill="1"/>
    <xf numFmtId="4" fontId="3" fillId="6" borderId="0" xfId="0" applyNumberFormat="1" applyFont="1" applyFill="1"/>
    <xf numFmtId="0" fontId="3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9" fillId="2" borderId="0" xfId="0" applyFont="1" applyFill="1"/>
    <xf numFmtId="4" fontId="3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1" fillId="2" borderId="0" xfId="1" applyNumberFormat="1" applyFont="1" applyFill="1" applyBorder="1"/>
    <xf numFmtId="3" fontId="3" fillId="2" borderId="0" xfId="0" applyNumberFormat="1" applyFont="1" applyFill="1" applyBorder="1"/>
    <xf numFmtId="165" fontId="3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3" fillId="2" borderId="0" xfId="0" applyNumberFormat="1" applyFont="1" applyFill="1" applyBorder="1"/>
    <xf numFmtId="9" fontId="0" fillId="2" borderId="0" xfId="1" applyFont="1" applyFill="1" applyBorder="1"/>
    <xf numFmtId="10" fontId="3" fillId="2" borderId="10" xfId="0" applyNumberFormat="1" applyFont="1" applyFill="1" applyBorder="1"/>
    <xf numFmtId="0" fontId="3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7" fillId="8" borderId="0" xfId="0" applyNumberFormat="1" applyFont="1" applyFill="1"/>
    <xf numFmtId="0" fontId="3" fillId="8" borderId="0" xfId="0" applyFont="1" applyFill="1"/>
    <xf numFmtId="1" fontId="1" fillId="8" borderId="0" xfId="1" applyNumberFormat="1" applyFont="1" applyFill="1"/>
    <xf numFmtId="10" fontId="3" fillId="8" borderId="0" xfId="1" applyNumberFormat="1" applyFont="1" applyFill="1"/>
    <xf numFmtId="0" fontId="0" fillId="2" borderId="1" xfId="0" applyFill="1" applyBorder="1"/>
    <xf numFmtId="0" fontId="7" fillId="2" borderId="2" xfId="0" applyFont="1" applyFill="1" applyBorder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0" fontId="8" fillId="7" borderId="0" xfId="0" applyFont="1" applyFill="1" applyAlignment="1">
      <alignment horizontal="right" vertical="center"/>
    </xf>
    <xf numFmtId="0" fontId="3" fillId="7" borderId="0" xfId="0" applyFont="1" applyFill="1"/>
    <xf numFmtId="9" fontId="0" fillId="7" borderId="0" xfId="1" applyFont="1" applyFill="1"/>
    <xf numFmtId="4" fontId="0" fillId="8" borderId="0" xfId="0" applyNumberFormat="1" applyFill="1"/>
    <xf numFmtId="9" fontId="0" fillId="9" borderId="0" xfId="1" applyFont="1" applyFill="1"/>
    <xf numFmtId="9" fontId="3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4" fillId="2" borderId="8" xfId="0" quotePrefix="1" applyNumberFormat="1" applyFont="1" applyFill="1" applyBorder="1"/>
    <xf numFmtId="10" fontId="0" fillId="2" borderId="7" xfId="0" applyNumberFormat="1" applyFill="1" applyBorder="1"/>
    <xf numFmtId="4" fontId="10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3" fillId="2" borderId="0" xfId="1" applyNumberFormat="1" applyFont="1" applyFill="1"/>
    <xf numFmtId="1" fontId="1" fillId="2" borderId="0" xfId="1" applyNumberFormat="1" applyFont="1" applyFill="1"/>
    <xf numFmtId="165" fontId="0" fillId="10" borderId="11" xfId="1" applyNumberFormat="1" applyFont="1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165" fontId="0" fillId="7" borderId="0" xfId="1" applyNumberFormat="1" applyFont="1" applyFill="1"/>
    <xf numFmtId="4" fontId="0" fillId="7" borderId="0" xfId="0" applyNumberFormat="1" applyFont="1" applyFill="1"/>
    <xf numFmtId="10" fontId="0" fillId="8" borderId="0" xfId="0" applyNumberFormat="1" applyFill="1"/>
    <xf numFmtId="4" fontId="1" fillId="8" borderId="0" xfId="1" applyNumberFormat="1" applyFont="1" applyFill="1"/>
    <xf numFmtId="0" fontId="0" fillId="2" borderId="0" xfId="0" quotePrefix="1" applyFill="1"/>
    <xf numFmtId="0" fontId="3" fillId="2" borderId="7" xfId="0" applyFont="1" applyFill="1" applyBorder="1"/>
    <xf numFmtId="0" fontId="3" fillId="2" borderId="0" xfId="0" applyFont="1" applyFill="1" applyBorder="1"/>
    <xf numFmtId="10" fontId="3" fillId="2" borderId="0" xfId="0" applyNumberFormat="1" applyFont="1" applyFill="1" applyBorder="1"/>
    <xf numFmtId="10" fontId="0" fillId="2" borderId="5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Border="1" applyAlignment="1">
      <alignment horizontal="right"/>
    </xf>
    <xf numFmtId="9" fontId="7" fillId="7" borderId="0" xfId="1" applyFont="1" applyFill="1"/>
    <xf numFmtId="4" fontId="11" fillId="5" borderId="0" xfId="0" applyNumberFormat="1" applyFont="1" applyFill="1"/>
    <xf numFmtId="9" fontId="11" fillId="5" borderId="0" xfId="1" applyFont="1" applyFill="1"/>
    <xf numFmtId="2" fontId="7" fillId="2" borderId="0" xfId="0" applyNumberFormat="1" applyFont="1" applyFill="1"/>
    <xf numFmtId="2" fontId="0" fillId="2" borderId="0" xfId="0" applyNumberFormat="1" applyFill="1"/>
  </cellXfs>
  <cellStyles count="3">
    <cellStyle name="Prozent" xfId="1" builtinId="5"/>
    <cellStyle name="Prozent 2" xfId="2" xr:uid="{00000000-0005-0000-0000-000001000000}"/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CC99"/>
      <color rgb="FFFFCC66"/>
      <color rgb="FFFFEB7D"/>
      <color rgb="FF009900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B7B184AC-237A-4B80-9CDC-0180677EBD35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CF4F6486-6EE2-4408-9367-EEA6C5368899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148166</xdr:colOff>
      <xdr:row>22</xdr:row>
      <xdr:rowOff>84666</xdr:rowOff>
    </xdr:from>
    <xdr:to>
      <xdr:col>14</xdr:col>
      <xdr:colOff>249399</xdr:colOff>
      <xdr:row>29</xdr:row>
      <xdr:rowOff>67091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3DC0D67-319C-44F6-93AC-41A13EC1C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21191" y="4875741"/>
          <a:ext cx="3551399" cy="138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C6B6F1B6-EEEB-4607-8D59-BF41638F0B65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552F1424-A6F3-4F23-8A02-538287781B08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148166</xdr:colOff>
      <xdr:row>22</xdr:row>
      <xdr:rowOff>84666</xdr:rowOff>
    </xdr:from>
    <xdr:to>
      <xdr:col>14</xdr:col>
      <xdr:colOff>249399</xdr:colOff>
      <xdr:row>29</xdr:row>
      <xdr:rowOff>67091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67B06B0-69CD-4B51-A333-8E6E13D77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22249" y="4910666"/>
          <a:ext cx="3572566" cy="1390008"/>
        </a:xfrm>
        <a:prstGeom prst="rect">
          <a:avLst/>
        </a:prstGeom>
      </xdr:spPr>
    </xdr:pic>
    <xdr:clientData/>
  </xdr:twoCellAnchor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B64F8F87-5FE7-4C4D-9292-A2C4C6244D98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D195896F-A3C7-4B6C-AE90-A88DF70D08E8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74"/>
  <sheetViews>
    <sheetView topLeftCell="A4" zoomScale="90" zoomScaleNormal="90" workbookViewId="0">
      <selection activeCell="A60" sqref="A60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1.375" style="1" bestFit="1" customWidth="1"/>
    <col min="16" max="16" width="12.125" style="1" bestFit="1" customWidth="1"/>
    <col min="17" max="18" width="10.625" style="1" customWidth="1"/>
    <col min="19" max="16384" width="10.625" style="1"/>
  </cols>
  <sheetData>
    <row r="2" spans="1:28" ht="26.25" x14ac:dyDescent="0.4">
      <c r="B2" s="34" t="s">
        <v>10</v>
      </c>
    </row>
    <row r="4" spans="1:28" x14ac:dyDescent="0.25">
      <c r="B4" s="24" t="s">
        <v>46</v>
      </c>
      <c r="L4" s="28"/>
      <c r="M4" s="28"/>
      <c r="N4" s="28"/>
      <c r="O4" s="28"/>
      <c r="P4" s="28"/>
      <c r="Q4" s="28"/>
      <c r="R4" s="28"/>
      <c r="S4" s="28"/>
    </row>
    <row r="5" spans="1:28" x14ac:dyDescent="0.25">
      <c r="L5" s="28"/>
      <c r="M5" s="28"/>
      <c r="N5" s="28"/>
      <c r="O5" s="28"/>
      <c r="P5" s="28"/>
      <c r="Q5" s="28"/>
      <c r="R5" s="28"/>
      <c r="S5" s="28"/>
    </row>
    <row r="6" spans="1:28" x14ac:dyDescent="0.25">
      <c r="B6" s="1" t="s">
        <v>41</v>
      </c>
      <c r="L6" s="28"/>
      <c r="M6" s="28"/>
      <c r="N6" s="28"/>
      <c r="O6" s="28"/>
      <c r="P6" s="28"/>
      <c r="Q6" s="28"/>
      <c r="R6" s="28"/>
      <c r="S6" s="28"/>
    </row>
    <row r="9" spans="1:28" s="8" customFormat="1" x14ac:dyDescent="0.25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2017</v>
      </c>
      <c r="D10" s="11">
        <v>2018</v>
      </c>
      <c r="E10" s="11">
        <v>2019</v>
      </c>
      <c r="F10" s="11">
        <v>2020</v>
      </c>
      <c r="G10" s="11">
        <v>2021</v>
      </c>
      <c r="H10" s="61">
        <v>2022</v>
      </c>
      <c r="I10" s="61">
        <v>2023</v>
      </c>
      <c r="J10" s="61">
        <v>2024</v>
      </c>
      <c r="K10" s="61">
        <v>2025</v>
      </c>
      <c r="L10" s="61">
        <v>2026</v>
      </c>
      <c r="M10" s="61">
        <v>2027</v>
      </c>
      <c r="N10" s="61">
        <v>2028</v>
      </c>
      <c r="O10" s="61">
        <v>2029</v>
      </c>
      <c r="P10" s="61">
        <v>2030</v>
      </c>
      <c r="Q10" s="61">
        <v>2031</v>
      </c>
      <c r="R10" s="60" t="s">
        <v>30</v>
      </c>
    </row>
    <row r="11" spans="1:28" x14ac:dyDescent="0.25">
      <c r="A11" s="5"/>
      <c r="B11" s="4" t="s">
        <v>4</v>
      </c>
      <c r="C11" s="95">
        <v>2822</v>
      </c>
      <c r="D11" s="95">
        <v>3610.7</v>
      </c>
      <c r="E11" s="95">
        <v>4111.7</v>
      </c>
      <c r="F11" s="95">
        <v>4370</v>
      </c>
      <c r="G11" s="95">
        <v>5426.7</v>
      </c>
      <c r="H11" s="83">
        <v>6482.95</v>
      </c>
      <c r="I11" s="83">
        <v>6768.69</v>
      </c>
      <c r="J11" s="83">
        <v>7291.81</v>
      </c>
      <c r="K11" s="83">
        <v>6940.2</v>
      </c>
      <c r="L11" s="83">
        <f>K11*(1+L12)</f>
        <v>6801.3959999999997</v>
      </c>
      <c r="M11" s="83">
        <f t="shared" ref="M11:R11" si="0">L11*(1+M12)</f>
        <v>6801.3959999999997</v>
      </c>
      <c r="N11" s="83">
        <f t="shared" si="0"/>
        <v>6733.3820399999995</v>
      </c>
      <c r="O11" s="83">
        <f t="shared" si="0"/>
        <v>6733.3820399999995</v>
      </c>
      <c r="P11" s="83">
        <f t="shared" si="0"/>
        <v>6733.3820399999995</v>
      </c>
      <c r="Q11" s="83">
        <f t="shared" si="0"/>
        <v>6733.3820399999995</v>
      </c>
      <c r="R11" s="83">
        <f t="shared" si="0"/>
        <v>6733.3820399999995</v>
      </c>
    </row>
    <row r="12" spans="1:28" x14ac:dyDescent="0.25">
      <c r="A12" s="5"/>
      <c r="B12" s="4" t="s">
        <v>1</v>
      </c>
      <c r="C12" s="96"/>
      <c r="D12" s="96">
        <f t="shared" ref="D12:K12" si="1">D11/C11-1</f>
        <v>0.27948263642806515</v>
      </c>
      <c r="E12" s="96">
        <f t="shared" si="1"/>
        <v>0.13875425817708487</v>
      </c>
      <c r="F12" s="96">
        <f t="shared" si="1"/>
        <v>6.2820731084466397E-2</v>
      </c>
      <c r="G12" s="96">
        <f t="shared" si="1"/>
        <v>0.24180778032036598</v>
      </c>
      <c r="H12" s="94">
        <f t="shared" si="1"/>
        <v>0.19463946781653685</v>
      </c>
      <c r="I12" s="94">
        <f t="shared" si="1"/>
        <v>4.4075613725233165E-2</v>
      </c>
      <c r="J12" s="94">
        <f t="shared" si="1"/>
        <v>7.7285264947870358E-2</v>
      </c>
      <c r="K12" s="94">
        <f t="shared" si="1"/>
        <v>-4.8219852135478081E-2</v>
      </c>
      <c r="L12" s="62">
        <v>-0.02</v>
      </c>
      <c r="M12" s="62">
        <v>0</v>
      </c>
      <c r="N12" s="62">
        <v>-0.01</v>
      </c>
      <c r="O12" s="62">
        <v>0</v>
      </c>
      <c r="P12" s="62">
        <v>0</v>
      </c>
      <c r="Q12" s="62">
        <v>0</v>
      </c>
      <c r="R12" s="13">
        <v>0</v>
      </c>
    </row>
    <row r="13" spans="1:28" ht="15.95" customHeight="1" x14ac:dyDescent="0.25">
      <c r="A13" s="5"/>
      <c r="B13" s="4" t="s">
        <v>15</v>
      </c>
      <c r="C13" s="96">
        <f t="shared" ref="C13:F13" si="2">C14/C11</f>
        <v>0.12775230333097093</v>
      </c>
      <c r="D13" s="96">
        <f t="shared" si="2"/>
        <v>0.15323732240285817</v>
      </c>
      <c r="E13" s="96">
        <f t="shared" si="2"/>
        <v>0.15697983802320209</v>
      </c>
      <c r="F13" s="96">
        <f t="shared" si="2"/>
        <v>0.17064416475972541</v>
      </c>
      <c r="G13" s="96">
        <f>G14/G11</f>
        <v>0.15694234064901322</v>
      </c>
      <c r="H13" s="82">
        <v>0.45660000000000001</v>
      </c>
      <c r="I13" s="82">
        <v>0.46689999999999998</v>
      </c>
      <c r="J13" s="82">
        <v>0.5595</v>
      </c>
      <c r="K13" s="82">
        <v>0.5</v>
      </c>
      <c r="L13" s="82">
        <v>0.35</v>
      </c>
      <c r="M13" s="82">
        <v>0.46</v>
      </c>
      <c r="N13" s="82">
        <v>0.35</v>
      </c>
      <c r="O13" s="82">
        <v>0.4</v>
      </c>
      <c r="P13" s="82">
        <v>0.44</v>
      </c>
      <c r="Q13" s="82">
        <v>0.45</v>
      </c>
      <c r="R13" s="82">
        <v>0.43</v>
      </c>
    </row>
    <row r="14" spans="1:28" ht="17.100000000000001" customHeight="1" x14ac:dyDescent="0.25">
      <c r="A14" s="5"/>
      <c r="B14" s="4" t="s">
        <v>16</v>
      </c>
      <c r="C14" s="95">
        <v>360.517</v>
      </c>
      <c r="D14" s="95">
        <v>553.29399999999998</v>
      </c>
      <c r="E14" s="95">
        <v>645.45399999999995</v>
      </c>
      <c r="F14" s="95">
        <v>745.71500000000003</v>
      </c>
      <c r="G14" s="95">
        <v>851.67899999999997</v>
      </c>
      <c r="H14" s="83">
        <f>H11*H13</f>
        <v>2960.1149700000001</v>
      </c>
      <c r="I14" s="83">
        <f>I11*I13</f>
        <v>3160.3013609999998</v>
      </c>
      <c r="J14" s="83">
        <f>J11*J13</f>
        <v>4079.767695</v>
      </c>
      <c r="K14" s="83">
        <f>K11*K13</f>
        <v>3470.1</v>
      </c>
      <c r="L14" s="83">
        <f t="shared" ref="L14:R14" si="3">L11*L13</f>
        <v>2380.4885999999997</v>
      </c>
      <c r="M14" s="83">
        <f t="shared" si="3"/>
        <v>3128.6421599999999</v>
      </c>
      <c r="N14" s="83">
        <f t="shared" si="3"/>
        <v>2356.6837139999998</v>
      </c>
      <c r="O14" s="83">
        <f>O11*O13</f>
        <v>2693.3528160000001</v>
      </c>
      <c r="P14" s="83">
        <f t="shared" si="3"/>
        <v>2962.6880975999998</v>
      </c>
      <c r="Q14" s="83">
        <f t="shared" si="3"/>
        <v>3030.0219179999999</v>
      </c>
      <c r="R14" s="83">
        <f t="shared" si="3"/>
        <v>2895.3542771999996</v>
      </c>
    </row>
    <row r="15" spans="1:28" ht="16.5" thickBot="1" x14ac:dyDescent="0.3">
      <c r="A15" s="12">
        <v>0.15</v>
      </c>
      <c r="B15" s="4" t="s">
        <v>29</v>
      </c>
      <c r="C15" s="95">
        <v>2566.9</v>
      </c>
      <c r="D15" s="95">
        <v>2402.8000000000002</v>
      </c>
      <c r="E15" s="95">
        <v>1294.3</v>
      </c>
      <c r="F15" s="95">
        <v>3340</v>
      </c>
      <c r="G15" s="95">
        <f>G11*0.4868</f>
        <v>2641.71756</v>
      </c>
      <c r="H15" s="83">
        <f>H11*0.5534</f>
        <v>3587.66453</v>
      </c>
      <c r="I15" s="83">
        <f>I11*0.4712</f>
        <v>3189.4067279999999</v>
      </c>
      <c r="J15" s="83">
        <f>J11*0.6065</f>
        <v>4422.4827650000007</v>
      </c>
      <c r="K15" s="83">
        <f>K11*0.5438</f>
        <v>3774.0807599999994</v>
      </c>
      <c r="L15" s="83">
        <f t="shared" ref="L15:Q15" si="4">L14*(1-$A$15)</f>
        <v>2023.4153099999996</v>
      </c>
      <c r="M15" s="83">
        <f t="shared" si="4"/>
        <v>2659.345836</v>
      </c>
      <c r="N15" s="83">
        <f t="shared" si="4"/>
        <v>2003.1811568999997</v>
      </c>
      <c r="O15" s="83">
        <f t="shared" si="4"/>
        <v>2289.3498936000001</v>
      </c>
      <c r="P15" s="83">
        <f t="shared" si="4"/>
        <v>2518.2848829599998</v>
      </c>
      <c r="Q15" s="83">
        <f t="shared" si="4"/>
        <v>2575.5186303</v>
      </c>
      <c r="R15" s="83">
        <f>R14*(1-$A$15)</f>
        <v>2461.0511356199995</v>
      </c>
    </row>
    <row r="16" spans="1:28" ht="32.25" thickBot="1" x14ac:dyDescent="0.3">
      <c r="A16" s="14" t="s">
        <v>6</v>
      </c>
      <c r="B16" s="15"/>
      <c r="C16" s="16"/>
      <c r="D16" s="16"/>
      <c r="E16" s="16"/>
      <c r="F16" s="16">
        <f t="shared" ref="F16:K16" si="5">F15/F14</f>
        <v>4.4789229129090868</v>
      </c>
      <c r="G16" s="16">
        <f t="shared" si="5"/>
        <v>3.1017760916965198</v>
      </c>
      <c r="H16" s="16">
        <f t="shared" si="5"/>
        <v>1.2120017520805957</v>
      </c>
      <c r="I16" s="16">
        <f t="shared" si="5"/>
        <v>1.0092096808738489</v>
      </c>
      <c r="J16" s="16">
        <f t="shared" si="5"/>
        <v>1.0840035746201968</v>
      </c>
      <c r="K16" s="16">
        <f t="shared" si="5"/>
        <v>1.0875999999999999</v>
      </c>
    </row>
    <row r="17" spans="1:18" x14ac:dyDescent="0.25">
      <c r="A17" s="2" t="s">
        <v>48</v>
      </c>
      <c r="G17" s="6"/>
      <c r="H17" s="6">
        <v>2.56</v>
      </c>
      <c r="I17" s="6">
        <v>2.73</v>
      </c>
      <c r="J17" s="6">
        <v>2.88</v>
      </c>
      <c r="K17" s="6">
        <v>2.91</v>
      </c>
      <c r="L17" s="97">
        <f>K17*1.02</f>
        <v>2.9682000000000004</v>
      </c>
      <c r="M17" s="97">
        <f>L17*1.01</f>
        <v>2.9978820000000006</v>
      </c>
      <c r="N17" s="97">
        <f t="shared" ref="N17:Q17" si="6">M17*1.01</f>
        <v>3.0278608200000008</v>
      </c>
      <c r="O17" s="97">
        <f t="shared" si="6"/>
        <v>3.058139428200001</v>
      </c>
      <c r="P17" s="97">
        <f t="shared" si="6"/>
        <v>3.0887208224820011</v>
      </c>
      <c r="Q17" s="97">
        <f t="shared" si="6"/>
        <v>3.119608030706821</v>
      </c>
      <c r="R17" s="3"/>
    </row>
    <row r="18" spans="1:18" ht="16.5" thickBot="1" x14ac:dyDescent="0.3">
      <c r="A18" s="2" t="s">
        <v>49</v>
      </c>
      <c r="G18" s="6"/>
      <c r="H18" s="98">
        <f>H17*$C$50</f>
        <v>1988.0883200000001</v>
      </c>
      <c r="I18" s="98">
        <f t="shared" ref="I18:Q18" si="7">I17*$C$50</f>
        <v>2120.1098099999999</v>
      </c>
      <c r="J18" s="98">
        <f t="shared" si="7"/>
        <v>2236.5993599999997</v>
      </c>
      <c r="K18" s="98">
        <f t="shared" si="7"/>
        <v>2259.8972699999999</v>
      </c>
      <c r="L18" s="98">
        <f t="shared" si="7"/>
        <v>2305.0952154000001</v>
      </c>
      <c r="M18" s="98">
        <f t="shared" si="7"/>
        <v>2328.1461675540004</v>
      </c>
      <c r="N18" s="98">
        <f t="shared" si="7"/>
        <v>2351.4276292295403</v>
      </c>
      <c r="O18" s="98">
        <f t="shared" si="7"/>
        <v>2374.9419055218359</v>
      </c>
      <c r="P18" s="98">
        <f t="shared" si="7"/>
        <v>2398.6913245770547</v>
      </c>
      <c r="Q18" s="98">
        <f t="shared" si="7"/>
        <v>2422.6782378228249</v>
      </c>
      <c r="R18" s="3"/>
    </row>
    <row r="19" spans="1:18" ht="16.5" thickBot="1" x14ac:dyDescent="0.3">
      <c r="A19" s="2"/>
      <c r="F19" s="56" t="s">
        <v>12</v>
      </c>
      <c r="G19" s="57"/>
      <c r="H19" s="58">
        <f>H15/(1+$C$55)</f>
        <v>3371.3898698491757</v>
      </c>
      <c r="I19" s="58">
        <f>I15/(1+$C$55)^2</f>
        <v>2816.4640183472984</v>
      </c>
      <c r="J19" s="58">
        <f>J15/(1+$C$55)^3</f>
        <v>3669.9284818679807</v>
      </c>
      <c r="K19" s="58">
        <f>K15/(1+$C$55)^4</f>
        <v>2943.0645783850068</v>
      </c>
      <c r="L19" s="58">
        <f>L15/(1+$C$55)^5</f>
        <v>1482.7597377897964</v>
      </c>
      <c r="M19" s="58">
        <f>M15/(1+$C$55)^6</f>
        <v>1831.2925255792525</v>
      </c>
      <c r="N19" s="58">
        <f>N15/(1+$C$55)^7</f>
        <v>1296.2843586393935</v>
      </c>
      <c r="O19" s="58">
        <f>O15/(1+$C$55)^8</f>
        <v>1392.1607277592648</v>
      </c>
      <c r="P19" s="58">
        <f>P15/(1+$C$55)^9</f>
        <v>1439.0610351315049</v>
      </c>
      <c r="Q19" s="58">
        <f>Q15/(1+$C$55)^10</f>
        <v>1383.0446532426165</v>
      </c>
      <c r="R19" s="59">
        <f>(R15/(C55-R12))/(1+C55)^10</f>
        <v>20601.340638930458</v>
      </c>
    </row>
    <row r="20" spans="1:18" x14ac:dyDescent="0.25">
      <c r="A20" s="2"/>
      <c r="C20" s="86" t="s">
        <v>47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C21" s="1" t="s">
        <v>42</v>
      </c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5" t="s">
        <v>31</v>
      </c>
      <c r="B23" s="36"/>
      <c r="C23" s="36"/>
      <c r="D23" s="37"/>
      <c r="E23" s="25"/>
      <c r="F23" s="36"/>
      <c r="G23" s="66" t="s">
        <v>32</v>
      </c>
      <c r="H23" s="25"/>
      <c r="I23" s="90">
        <v>5.0000000000000001E-3</v>
      </c>
      <c r="J23" s="26" t="s">
        <v>33</v>
      </c>
    </row>
    <row r="24" spans="1:18" x14ac:dyDescent="0.25">
      <c r="A24" s="38"/>
      <c r="B24" s="39"/>
      <c r="C24" s="39"/>
      <c r="D24" s="40"/>
      <c r="E24" s="39"/>
      <c r="F24" s="39"/>
      <c r="G24" s="27"/>
      <c r="H24" s="28"/>
      <c r="I24" s="91"/>
      <c r="J24" s="29"/>
    </row>
    <row r="25" spans="1:18" x14ac:dyDescent="0.25">
      <c r="A25" s="38"/>
      <c r="B25" s="39"/>
      <c r="C25" s="39"/>
      <c r="D25" s="41"/>
      <c r="E25" s="28"/>
      <c r="F25" s="39"/>
      <c r="G25" s="27" t="s">
        <v>34</v>
      </c>
      <c r="H25" s="28"/>
      <c r="I25" s="92">
        <f>(I27-I23)*I29</f>
        <v>5.9150000000000001E-2</v>
      </c>
      <c r="J25" s="29"/>
    </row>
    <row r="26" spans="1:18" x14ac:dyDescent="0.25">
      <c r="A26" s="38"/>
      <c r="B26" s="39"/>
      <c r="C26" s="39"/>
      <c r="D26" s="41"/>
      <c r="E26" s="28"/>
      <c r="F26" s="39"/>
      <c r="G26" s="27"/>
      <c r="H26" s="28"/>
      <c r="I26" s="91"/>
      <c r="J26" s="29"/>
    </row>
    <row r="27" spans="1:18" x14ac:dyDescent="0.25">
      <c r="A27" s="38"/>
      <c r="B27" s="39"/>
      <c r="C27" s="39"/>
      <c r="D27" s="41"/>
      <c r="E27" s="28"/>
      <c r="F27" s="39"/>
      <c r="G27" s="27" t="s">
        <v>35</v>
      </c>
      <c r="H27" s="28"/>
      <c r="I27" s="93">
        <v>7.0000000000000007E-2</v>
      </c>
      <c r="J27" s="29" t="s">
        <v>36</v>
      </c>
    </row>
    <row r="28" spans="1:18" x14ac:dyDescent="0.25">
      <c r="A28" s="38"/>
      <c r="B28" s="39"/>
      <c r="C28" s="39"/>
      <c r="D28" s="42"/>
      <c r="E28" s="28"/>
      <c r="F28" s="39"/>
      <c r="G28" s="27"/>
      <c r="H28" s="28"/>
      <c r="I28" s="91"/>
      <c r="J28" s="29"/>
    </row>
    <row r="29" spans="1:18" x14ac:dyDescent="0.25">
      <c r="A29" s="38"/>
      <c r="B29" s="39"/>
      <c r="C29" s="39"/>
      <c r="D29" s="42"/>
      <c r="E29" s="28"/>
      <c r="F29" s="39"/>
      <c r="G29" s="27" t="s">
        <v>37</v>
      </c>
      <c r="H29" s="28"/>
      <c r="I29" s="91">
        <v>0.91</v>
      </c>
      <c r="J29" s="29" t="s">
        <v>38</v>
      </c>
    </row>
    <row r="30" spans="1:18" x14ac:dyDescent="0.25">
      <c r="A30" s="38"/>
      <c r="B30" s="39"/>
      <c r="C30" s="39"/>
      <c r="D30" s="43"/>
      <c r="E30" s="28"/>
      <c r="F30" s="39"/>
      <c r="G30" s="27"/>
      <c r="H30" s="28"/>
      <c r="I30" s="91"/>
      <c r="J30" s="29"/>
    </row>
    <row r="31" spans="1:18" x14ac:dyDescent="0.25">
      <c r="A31" s="38"/>
      <c r="B31" s="39"/>
      <c r="C31" s="39"/>
      <c r="D31" s="40"/>
      <c r="E31" s="28"/>
      <c r="F31" s="39"/>
      <c r="G31" s="27" t="s">
        <v>39</v>
      </c>
      <c r="H31" s="28"/>
      <c r="I31" s="93">
        <f>I23+(I27-I23)*I29</f>
        <v>6.4149999999999999E-2</v>
      </c>
      <c r="J31" s="29" t="s">
        <v>40</v>
      </c>
    </row>
    <row r="32" spans="1:18" x14ac:dyDescent="0.25">
      <c r="A32" s="27"/>
      <c r="B32" s="28"/>
      <c r="C32" s="44"/>
      <c r="D32" s="28"/>
      <c r="E32" s="39"/>
      <c r="F32" s="39"/>
      <c r="G32" s="27"/>
      <c r="H32" s="28"/>
      <c r="I32" s="28"/>
      <c r="J32" s="29"/>
    </row>
    <row r="33" spans="1:10" x14ac:dyDescent="0.25">
      <c r="A33" s="27"/>
      <c r="B33" s="28"/>
      <c r="C33" s="28"/>
      <c r="D33" s="28"/>
      <c r="E33" s="28"/>
      <c r="F33" s="28"/>
      <c r="G33" s="87" t="s">
        <v>43</v>
      </c>
      <c r="H33" s="88"/>
      <c r="I33" s="89">
        <f>I31</f>
        <v>6.4149999999999999E-2</v>
      </c>
      <c r="J33" s="29"/>
    </row>
    <row r="34" spans="1:10" x14ac:dyDescent="0.25">
      <c r="A34" s="38" t="s">
        <v>7</v>
      </c>
      <c r="B34" s="39"/>
      <c r="C34" s="45"/>
      <c r="D34" s="30"/>
      <c r="E34" s="28"/>
      <c r="F34" s="28"/>
      <c r="G34" s="27"/>
      <c r="H34" s="28"/>
      <c r="I34" s="28"/>
      <c r="J34" s="29"/>
    </row>
    <row r="35" spans="1:10" ht="15.75" hidden="1" customHeight="1" x14ac:dyDescent="0.25">
      <c r="A35" s="27"/>
      <c r="B35" s="28"/>
      <c r="C35" s="28"/>
      <c r="D35" s="28"/>
      <c r="E35" s="28"/>
      <c r="F35" s="28"/>
      <c r="G35" s="27"/>
      <c r="H35" s="28"/>
      <c r="I35" s="28"/>
      <c r="J35" s="29"/>
    </row>
    <row r="36" spans="1:10" ht="15.75" hidden="1" customHeight="1" x14ac:dyDescent="0.25">
      <c r="A36" s="27"/>
      <c r="B36" s="28" t="s">
        <v>8</v>
      </c>
      <c r="C36" s="28"/>
      <c r="D36" s="46">
        <v>0.08</v>
      </c>
      <c r="E36" s="28"/>
      <c r="F36" s="28"/>
      <c r="G36" s="27"/>
      <c r="H36" s="28"/>
      <c r="I36" s="28"/>
      <c r="J36" s="29"/>
    </row>
    <row r="37" spans="1:10" ht="15.75" hidden="1" customHeight="1" x14ac:dyDescent="0.25">
      <c r="A37" s="27"/>
      <c r="B37" s="28"/>
      <c r="C37" s="28"/>
      <c r="D37" s="28"/>
      <c r="E37" s="28"/>
      <c r="F37" s="28"/>
      <c r="G37" s="27"/>
      <c r="H37" s="28"/>
      <c r="I37" s="28"/>
      <c r="J37" s="29"/>
    </row>
    <row r="38" spans="1:10" ht="15.75" hidden="1" customHeight="1" x14ac:dyDescent="0.25">
      <c r="A38" s="27"/>
      <c r="B38" s="28"/>
      <c r="C38" s="28"/>
      <c r="D38" s="28"/>
      <c r="E38" s="28"/>
      <c r="F38" s="28"/>
      <c r="G38" s="27"/>
      <c r="H38" s="28"/>
      <c r="I38" s="28"/>
      <c r="J38" s="29"/>
    </row>
    <row r="39" spans="1:10" ht="15.75" hidden="1" customHeight="1" x14ac:dyDescent="0.25">
      <c r="A39" s="27"/>
      <c r="B39" s="28"/>
      <c r="C39" s="28"/>
      <c r="D39" s="28"/>
      <c r="E39" s="28"/>
      <c r="F39" s="28"/>
      <c r="G39" s="27"/>
      <c r="H39" s="28"/>
      <c r="I39" s="28"/>
      <c r="J39" s="29"/>
    </row>
    <row r="40" spans="1:10" hidden="1" x14ac:dyDescent="0.25">
      <c r="A40" s="27"/>
      <c r="B40" s="47"/>
      <c r="C40" s="47">
        <v>0.12</v>
      </c>
      <c r="D40" s="47" t="e">
        <f>((NPV(C40,$H$15:$R$15)+(#REF!*(1+#REF!)/(C40-#REF!))/(1+C40)^(2040-2020))/$D$50)/$C$51-1</f>
        <v>#REF!</v>
      </c>
      <c r="E40" s="28"/>
      <c r="F40" s="28"/>
      <c r="G40" s="27"/>
      <c r="H40" s="28"/>
      <c r="I40" s="28"/>
      <c r="J40" s="29"/>
    </row>
    <row r="41" spans="1:10" hidden="1" x14ac:dyDescent="0.25">
      <c r="A41" s="27"/>
      <c r="B41" s="47"/>
      <c r="C41" s="47">
        <v>0.14000000000000001</v>
      </c>
      <c r="D41" s="47" t="e">
        <f>((NPV(C41,$H$15:$R$15)+(#REF!*(1+#REF!)/(C41-#REF!))/(1+C41)^(2040-2020))/$D$50)/$C$51-1</f>
        <v>#REF!</v>
      </c>
      <c r="E41" s="28"/>
      <c r="F41" s="28"/>
      <c r="G41" s="27"/>
      <c r="H41" s="28"/>
      <c r="I41" s="28"/>
      <c r="J41" s="29"/>
    </row>
    <row r="42" spans="1:10" hidden="1" x14ac:dyDescent="0.25">
      <c r="A42" s="27"/>
      <c r="B42" s="47"/>
      <c r="C42" s="47">
        <v>0.16</v>
      </c>
      <c r="D42" s="47" t="e">
        <f>((NPV(C42,$H$15:$R$15)+(#REF!*(1+#REF!)/(C42-#REF!))/(1+C42)^(2040-2020))/$D$50)/$C$51-1</f>
        <v>#REF!</v>
      </c>
      <c r="E42" s="28"/>
      <c r="F42" s="28"/>
      <c r="G42" s="27"/>
      <c r="H42" s="28"/>
      <c r="I42" s="28"/>
      <c r="J42" s="29"/>
    </row>
    <row r="43" spans="1:10" hidden="1" x14ac:dyDescent="0.25">
      <c r="A43" s="27"/>
      <c r="B43" s="47"/>
      <c r="C43" s="47">
        <v>0.18</v>
      </c>
      <c r="D43" s="47" t="e">
        <f>((NPV(C43,$H$15:$R$15)+(#REF!*(1+#REF!)/(C43-#REF!))/(1+C43)^(2040-2020))/$D$50)/$C$51-1</f>
        <v>#REF!</v>
      </c>
      <c r="E43" s="28"/>
      <c r="F43" s="28"/>
      <c r="G43" s="27"/>
      <c r="H43" s="28"/>
      <c r="I43" s="28"/>
      <c r="J43" s="29"/>
    </row>
    <row r="44" spans="1:10" hidden="1" x14ac:dyDescent="0.25">
      <c r="A44" s="27"/>
      <c r="B44" s="47"/>
      <c r="C44" s="47">
        <v>0.2</v>
      </c>
      <c r="D44" s="47" t="e">
        <f>((NPV(C44,$H$15:$R$15)+(#REF!*(1+#REF!)/(C44-#REF!))/(1+C44)^(2040-2020))/$D$50)/$C$51-1</f>
        <v>#REF!</v>
      </c>
      <c r="E44" s="28"/>
      <c r="F44" s="28"/>
      <c r="G44" s="27"/>
      <c r="H44" s="28"/>
      <c r="I44" s="28"/>
      <c r="J44" s="29"/>
    </row>
    <row r="45" spans="1:10" x14ac:dyDescent="0.25">
      <c r="A45" s="27"/>
      <c r="B45" s="28"/>
      <c r="C45" s="28"/>
      <c r="D45" s="28"/>
      <c r="E45" s="28"/>
      <c r="F45" s="28"/>
      <c r="G45" s="27"/>
      <c r="H45" s="28"/>
      <c r="I45" s="28"/>
      <c r="J45" s="29"/>
    </row>
    <row r="46" spans="1:10" ht="16.5" thickBot="1" x14ac:dyDescent="0.3">
      <c r="A46" s="31"/>
      <c r="B46" s="32" t="s">
        <v>25</v>
      </c>
      <c r="C46" s="32"/>
      <c r="D46" s="48">
        <f>I33</f>
        <v>6.4149999999999999E-2</v>
      </c>
      <c r="E46" s="32"/>
      <c r="F46" s="32"/>
      <c r="G46" s="31"/>
      <c r="H46" s="32"/>
      <c r="I46" s="32"/>
      <c r="J46" s="33"/>
    </row>
    <row r="48" spans="1:10" x14ac:dyDescent="0.25">
      <c r="A48" s="17"/>
      <c r="B48" s="18"/>
      <c r="C48" s="19">
        <v>44643</v>
      </c>
      <c r="D48" s="20" t="s">
        <v>3</v>
      </c>
      <c r="E48" s="21"/>
      <c r="F48" s="22"/>
      <c r="G48" s="23"/>
      <c r="H48" s="23"/>
      <c r="I48" s="23"/>
    </row>
    <row r="49" spans="1:17" x14ac:dyDescent="0.25">
      <c r="A49" s="49" t="s">
        <v>0</v>
      </c>
      <c r="B49" s="50" t="s">
        <v>5</v>
      </c>
      <c r="C49" s="81">
        <f>C50*C51</f>
        <v>33145.159959999997</v>
      </c>
      <c r="D49" s="52">
        <f>SUM(H19:R19)</f>
        <v>42226.790625521753</v>
      </c>
      <c r="E49" s="50" t="s">
        <v>44</v>
      </c>
    </row>
    <row r="50" spans="1:17" x14ac:dyDescent="0.25">
      <c r="A50" s="49"/>
      <c r="B50" s="50" t="s">
        <v>11</v>
      </c>
      <c r="C50" s="51">
        <v>776.59699999999998</v>
      </c>
      <c r="D50" s="51">
        <f>C50</f>
        <v>776.59699999999998</v>
      </c>
      <c r="E50" s="50"/>
    </row>
    <row r="51" spans="1:17" x14ac:dyDescent="0.25">
      <c r="A51" s="49"/>
      <c r="B51" s="50" t="s">
        <v>13</v>
      </c>
      <c r="C51" s="63">
        <v>42.68</v>
      </c>
      <c r="D51" s="63">
        <f>D49/(D50)</f>
        <v>54.374135652753942</v>
      </c>
      <c r="E51" s="50" t="s">
        <v>44</v>
      </c>
    </row>
    <row r="52" spans="1:17" x14ac:dyDescent="0.25">
      <c r="A52" s="49"/>
      <c r="B52" s="50" t="s">
        <v>2</v>
      </c>
      <c r="C52" s="50"/>
      <c r="D52" s="64">
        <f>IF(C51/D51-1&gt;0,0,C51/D51-1)*-1</f>
        <v>0.21506798245834102</v>
      </c>
      <c r="E52" s="50"/>
    </row>
    <row r="53" spans="1:17" x14ac:dyDescent="0.25">
      <c r="A53" s="49"/>
      <c r="B53" s="50" t="s">
        <v>14</v>
      </c>
      <c r="C53" s="50"/>
      <c r="D53" s="65">
        <f>IF(C51/D51-1&lt;0,0,C51/D51-1)</f>
        <v>0</v>
      </c>
      <c r="E53" s="50"/>
    </row>
    <row r="54" spans="1:17" x14ac:dyDescent="0.25">
      <c r="A54" s="50"/>
      <c r="B54" s="50"/>
      <c r="C54" s="50"/>
      <c r="D54" s="53"/>
      <c r="E54" s="53"/>
    </row>
    <row r="55" spans="1:17" x14ac:dyDescent="0.25">
      <c r="A55" s="53" t="s">
        <v>24</v>
      </c>
      <c r="B55" s="50"/>
      <c r="C55" s="55">
        <f>D46</f>
        <v>6.4149999999999999E-2</v>
      </c>
      <c r="D55" s="54"/>
      <c r="E55" s="50"/>
      <c r="J55" s="80"/>
    </row>
    <row r="56" spans="1:17" x14ac:dyDescent="0.25">
      <c r="A56" s="53"/>
      <c r="B56" s="50"/>
      <c r="C56" s="55"/>
      <c r="D56" s="54"/>
      <c r="E56" s="50"/>
    </row>
    <row r="57" spans="1:17" hidden="1" x14ac:dyDescent="0.25">
      <c r="A57" s="53" t="s">
        <v>27</v>
      </c>
      <c r="B57" s="84">
        <v>0.108</v>
      </c>
      <c r="C57" s="55"/>
      <c r="D57" s="85">
        <f>SUM(H57:Q57)*1000</f>
        <v>25397150.88346399</v>
      </c>
      <c r="E57" s="50"/>
      <c r="F57" s="1" t="s">
        <v>28</v>
      </c>
      <c r="H57" s="1">
        <f>H15/(1+$B$57)</f>
        <v>3237.9643772563172</v>
      </c>
      <c r="I57" s="1">
        <f>I15/(1+$B$57)^2</f>
        <v>2597.9475882651923</v>
      </c>
      <c r="J57" s="1">
        <f>J15/(1+$B$57)^3</f>
        <v>3251.2238183457616</v>
      </c>
      <c r="K57" s="1">
        <f>K15/(1+$B$57)^4</f>
        <v>2504.1027643287862</v>
      </c>
      <c r="L57" s="1">
        <f>L15/(1+$B$57)^5</f>
        <v>1211.6752298972094</v>
      </c>
      <c r="M57" s="1">
        <f>M15/(1+$B$57)^6</f>
        <v>1437.2630370106144</v>
      </c>
      <c r="N57" s="1">
        <f>N15/(1+$B$57)^7</f>
        <v>977.10650275501848</v>
      </c>
      <c r="O57" s="1">
        <f>O15/(1+$B$57)^8</f>
        <v>1007.8457996441654</v>
      </c>
      <c r="P57" s="1">
        <f>P15/(1+$B$57)^9</f>
        <v>1000.5689346647848</v>
      </c>
      <c r="Q57" s="1">
        <f>(R15/(B57-R12))/(1+B57)^10</f>
        <v>8171.4528312961402</v>
      </c>
    </row>
    <row r="58" spans="1:17" ht="16.5" thickBot="1" x14ac:dyDescent="0.3">
      <c r="A58" s="24"/>
      <c r="C58" s="74"/>
      <c r="D58" s="75"/>
    </row>
    <row r="59" spans="1:17" x14ac:dyDescent="0.25">
      <c r="A59" s="66" t="s">
        <v>50</v>
      </c>
      <c r="B59" s="25"/>
      <c r="C59" s="77">
        <v>20</v>
      </c>
      <c r="D59" s="25"/>
      <c r="E59" s="26"/>
    </row>
    <row r="60" spans="1:17" x14ac:dyDescent="0.25">
      <c r="A60" s="27" t="s">
        <v>26</v>
      </c>
      <c r="B60" s="28"/>
      <c r="C60" s="78"/>
      <c r="D60" s="28"/>
      <c r="E60" s="29"/>
    </row>
    <row r="61" spans="1:17" x14ac:dyDescent="0.25">
      <c r="A61" s="27"/>
      <c r="B61" s="28"/>
      <c r="C61" s="78"/>
      <c r="D61" s="28"/>
      <c r="E61" s="29"/>
    </row>
    <row r="62" spans="1:17" x14ac:dyDescent="0.25">
      <c r="A62" s="27" t="s">
        <v>17</v>
      </c>
      <c r="B62" s="28"/>
      <c r="C62" s="78"/>
      <c r="D62" s="28"/>
      <c r="E62" s="67">
        <f>Q18*C59</f>
        <v>48453.564756456501</v>
      </c>
    </row>
    <row r="63" spans="1:17" x14ac:dyDescent="0.25">
      <c r="A63" s="27"/>
      <c r="B63" s="28"/>
      <c r="C63" s="78"/>
      <c r="D63" s="28"/>
      <c r="E63" s="29"/>
    </row>
    <row r="64" spans="1:17" x14ac:dyDescent="0.25">
      <c r="A64" s="27" t="s">
        <v>18</v>
      </c>
      <c r="B64" s="28"/>
      <c r="C64" s="79">
        <v>0.5</v>
      </c>
      <c r="D64" s="28"/>
      <c r="E64" s="29"/>
    </row>
    <row r="65" spans="1:5" x14ac:dyDescent="0.25">
      <c r="A65" s="27"/>
      <c r="B65" s="28"/>
      <c r="C65" s="28"/>
      <c r="D65" s="28"/>
      <c r="E65" s="29"/>
    </row>
    <row r="66" spans="1:5" x14ac:dyDescent="0.25">
      <c r="A66" s="27" t="s">
        <v>19</v>
      </c>
      <c r="B66" s="28"/>
      <c r="C66" s="28"/>
      <c r="D66" s="28"/>
      <c r="E66" s="67">
        <f>SUM(H15:R15)*C64</f>
        <v>15751.890814189999</v>
      </c>
    </row>
    <row r="67" spans="1:5" x14ac:dyDescent="0.25">
      <c r="A67" s="27"/>
      <c r="B67" s="28"/>
      <c r="C67" s="28"/>
      <c r="D67" s="28"/>
      <c r="E67" s="68"/>
    </row>
    <row r="68" spans="1:5" x14ac:dyDescent="0.25">
      <c r="A68" s="69" t="s">
        <v>20</v>
      </c>
      <c r="B68" s="28"/>
      <c r="C68" s="28"/>
      <c r="D68" s="28"/>
      <c r="E68" s="70">
        <f>(E66*0.25)*-1</f>
        <v>-3937.9727035474998</v>
      </c>
    </row>
    <row r="69" spans="1:5" x14ac:dyDescent="0.25">
      <c r="A69" s="27"/>
      <c r="B69" s="28"/>
      <c r="C69" s="47"/>
      <c r="D69" s="47"/>
      <c r="E69" s="71"/>
    </row>
    <row r="70" spans="1:5" x14ac:dyDescent="0.25">
      <c r="A70" s="27" t="s">
        <v>21</v>
      </c>
      <c r="B70" s="28"/>
      <c r="C70" s="28"/>
      <c r="D70" s="28"/>
      <c r="E70" s="67">
        <f>SUM(E62:E68)</f>
        <v>60267.482867099003</v>
      </c>
    </row>
    <row r="71" spans="1:5" x14ac:dyDescent="0.25">
      <c r="A71" s="27"/>
      <c r="B71" s="28"/>
      <c r="C71" s="28"/>
      <c r="D71" s="28"/>
      <c r="E71" s="67"/>
    </row>
    <row r="72" spans="1:5" x14ac:dyDescent="0.25">
      <c r="A72" s="27" t="s">
        <v>22</v>
      </c>
      <c r="B72" s="28"/>
      <c r="C72" s="28"/>
      <c r="D72" s="28"/>
      <c r="E72" s="71">
        <f>E70/C49-1</f>
        <v>0.81828909378716452</v>
      </c>
    </row>
    <row r="73" spans="1:5" x14ac:dyDescent="0.25">
      <c r="A73" s="27"/>
      <c r="B73" s="28"/>
      <c r="C73" s="28"/>
      <c r="D73" s="28"/>
      <c r="E73" s="29"/>
    </row>
    <row r="74" spans="1:5" ht="16.5" thickBot="1" x14ac:dyDescent="0.3">
      <c r="A74" s="72" t="s">
        <v>23</v>
      </c>
      <c r="B74" s="73"/>
      <c r="C74" s="73"/>
      <c r="D74" s="73"/>
      <c r="E74" s="76">
        <f>(E70/C49)^(1/10)-1</f>
        <v>6.1613159700581566E-2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B74"/>
  <sheetViews>
    <sheetView tabSelected="1" topLeftCell="A34" zoomScale="90" zoomScaleNormal="90" workbookViewId="0">
      <selection activeCell="C60" sqref="C60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1.375" style="1" bestFit="1" customWidth="1"/>
    <col min="16" max="16" width="12.125" style="1" bestFit="1" customWidth="1"/>
    <col min="17" max="18" width="10.625" style="1" customWidth="1"/>
    <col min="19" max="16384" width="10.625" style="1"/>
  </cols>
  <sheetData>
    <row r="2" spans="1:28" ht="26.25" x14ac:dyDescent="0.4">
      <c r="B2" s="34" t="s">
        <v>10</v>
      </c>
    </row>
    <row r="4" spans="1:28" x14ac:dyDescent="0.25">
      <c r="B4" s="24" t="s">
        <v>45</v>
      </c>
      <c r="L4" s="28"/>
      <c r="M4" s="28"/>
      <c r="N4" s="28"/>
      <c r="O4" s="28"/>
      <c r="P4" s="28"/>
      <c r="Q4" s="28"/>
      <c r="R4" s="28"/>
      <c r="S4" s="28"/>
    </row>
    <row r="5" spans="1:28" x14ac:dyDescent="0.25">
      <c r="L5" s="28"/>
      <c r="M5" s="28"/>
      <c r="N5" s="28"/>
      <c r="O5" s="28"/>
      <c r="P5" s="28"/>
      <c r="Q5" s="28"/>
      <c r="R5" s="28"/>
      <c r="S5" s="28"/>
    </row>
    <row r="6" spans="1:28" x14ac:dyDescent="0.25">
      <c r="B6" s="1" t="s">
        <v>41</v>
      </c>
      <c r="L6" s="28"/>
      <c r="M6" s="28"/>
      <c r="N6" s="28"/>
      <c r="O6" s="28"/>
      <c r="P6" s="28"/>
      <c r="Q6" s="28"/>
      <c r="R6" s="28"/>
      <c r="S6" s="28"/>
    </row>
    <row r="9" spans="1:28" s="8" customFormat="1" x14ac:dyDescent="0.25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2017</v>
      </c>
      <c r="D10" s="11">
        <v>2018</v>
      </c>
      <c r="E10" s="11">
        <v>2019</v>
      </c>
      <c r="F10" s="11">
        <v>2020</v>
      </c>
      <c r="G10" s="11">
        <v>2021</v>
      </c>
      <c r="H10" s="61">
        <v>2022</v>
      </c>
      <c r="I10" s="61">
        <v>2023</v>
      </c>
      <c r="J10" s="61">
        <v>2024</v>
      </c>
      <c r="K10" s="61">
        <v>2025</v>
      </c>
      <c r="L10" s="61">
        <v>2026</v>
      </c>
      <c r="M10" s="61">
        <v>2027</v>
      </c>
      <c r="N10" s="61">
        <v>2028</v>
      </c>
      <c r="O10" s="61">
        <v>2029</v>
      </c>
      <c r="P10" s="61">
        <v>2030</v>
      </c>
      <c r="Q10" s="61">
        <v>2031</v>
      </c>
      <c r="R10" s="60" t="s">
        <v>30</v>
      </c>
    </row>
    <row r="11" spans="1:28" x14ac:dyDescent="0.25">
      <c r="A11" s="5"/>
      <c r="B11" s="4" t="s">
        <v>4</v>
      </c>
      <c r="C11" s="95">
        <v>2822</v>
      </c>
      <c r="D11" s="95">
        <v>3610.7</v>
      </c>
      <c r="E11" s="95">
        <v>4111.7</v>
      </c>
      <c r="F11" s="95">
        <v>4370</v>
      </c>
      <c r="G11" s="95">
        <v>5426.7</v>
      </c>
      <c r="H11" s="83">
        <v>6482.95</v>
      </c>
      <c r="I11" s="83">
        <v>6768.69</v>
      </c>
      <c r="J11" s="83">
        <v>7291.81</v>
      </c>
      <c r="K11" s="83">
        <v>6940.2</v>
      </c>
      <c r="L11" s="83">
        <f>K11*(1+L12)</f>
        <v>7079.0039999999999</v>
      </c>
      <c r="M11" s="83">
        <f t="shared" ref="M11:R11" si="0">L11*(1+M12)</f>
        <v>7220.5840799999996</v>
      </c>
      <c r="N11" s="83">
        <f t="shared" si="0"/>
        <v>7364.9957616000002</v>
      </c>
      <c r="O11" s="83">
        <f t="shared" si="0"/>
        <v>7512.295676832</v>
      </c>
      <c r="P11" s="83">
        <f t="shared" si="0"/>
        <v>7587.4186336003204</v>
      </c>
      <c r="Q11" s="83">
        <f t="shared" si="0"/>
        <v>7663.2928199363232</v>
      </c>
      <c r="R11" s="83">
        <f t="shared" si="0"/>
        <v>7739.9257481356863</v>
      </c>
    </row>
    <row r="12" spans="1:28" x14ac:dyDescent="0.25">
      <c r="A12" s="5"/>
      <c r="B12" s="4" t="s">
        <v>1</v>
      </c>
      <c r="C12" s="96"/>
      <c r="D12" s="96">
        <f t="shared" ref="D12" si="1">D11/C11-1</f>
        <v>0.27948263642806515</v>
      </c>
      <c r="E12" s="96">
        <f t="shared" ref="E12" si="2">E11/D11-1</f>
        <v>0.13875425817708487</v>
      </c>
      <c r="F12" s="96">
        <f t="shared" ref="F12" si="3">F11/E11-1</f>
        <v>6.2820731084466397E-2</v>
      </c>
      <c r="G12" s="96">
        <f t="shared" ref="G12" si="4">G11/F11-1</f>
        <v>0.24180778032036598</v>
      </c>
      <c r="H12" s="94">
        <f t="shared" ref="H12" si="5">H11/G11-1</f>
        <v>0.19463946781653685</v>
      </c>
      <c r="I12" s="94">
        <f t="shared" ref="I12" si="6">I11/H11-1</f>
        <v>4.4075613725233165E-2</v>
      </c>
      <c r="J12" s="94">
        <f t="shared" ref="J12" si="7">J11/I11-1</f>
        <v>7.7285264947870358E-2</v>
      </c>
      <c r="K12" s="94">
        <f t="shared" ref="K12" si="8">K11/J11-1</f>
        <v>-4.8219852135478081E-2</v>
      </c>
      <c r="L12" s="62">
        <v>0.02</v>
      </c>
      <c r="M12" s="62">
        <v>0.02</v>
      </c>
      <c r="N12" s="62">
        <v>0.02</v>
      </c>
      <c r="O12" s="62">
        <v>0.02</v>
      </c>
      <c r="P12" s="62">
        <v>0.01</v>
      </c>
      <c r="Q12" s="62">
        <v>0.01</v>
      </c>
      <c r="R12" s="13">
        <v>0.01</v>
      </c>
    </row>
    <row r="13" spans="1:28" ht="15.95" customHeight="1" x14ac:dyDescent="0.25">
      <c r="A13" s="5"/>
      <c r="B13" s="4" t="s">
        <v>15</v>
      </c>
      <c r="C13" s="96">
        <f t="shared" ref="C13:F13" si="9">C14/C11</f>
        <v>0.12775230333097093</v>
      </c>
      <c r="D13" s="96">
        <f t="shared" si="9"/>
        <v>0.15323732240285817</v>
      </c>
      <c r="E13" s="96">
        <f t="shared" si="9"/>
        <v>0.15697983802320209</v>
      </c>
      <c r="F13" s="96">
        <f t="shared" si="9"/>
        <v>0.17064416475972541</v>
      </c>
      <c r="G13" s="96">
        <f>G14/G11</f>
        <v>0.15694234064901322</v>
      </c>
      <c r="H13" s="82">
        <v>0.45660000000000001</v>
      </c>
      <c r="I13" s="82">
        <v>0.46689999999999998</v>
      </c>
      <c r="J13" s="82">
        <v>0.5595</v>
      </c>
      <c r="K13" s="82">
        <v>0.5</v>
      </c>
      <c r="L13" s="82">
        <v>0.5</v>
      </c>
      <c r="M13" s="82">
        <v>0.5</v>
      </c>
      <c r="N13" s="82">
        <v>0.5</v>
      </c>
      <c r="O13" s="82">
        <v>0.5</v>
      </c>
      <c r="P13" s="82">
        <v>0.5</v>
      </c>
      <c r="Q13" s="82">
        <v>0.5</v>
      </c>
      <c r="R13" s="82">
        <v>0.5</v>
      </c>
    </row>
    <row r="14" spans="1:28" ht="17.100000000000001" customHeight="1" x14ac:dyDescent="0.25">
      <c r="A14" s="5"/>
      <c r="B14" s="4" t="s">
        <v>16</v>
      </c>
      <c r="C14" s="95">
        <v>360.517</v>
      </c>
      <c r="D14" s="95">
        <v>553.29399999999998</v>
      </c>
      <c r="E14" s="95">
        <v>645.45399999999995</v>
      </c>
      <c r="F14" s="95">
        <v>745.71500000000003</v>
      </c>
      <c r="G14" s="95">
        <v>851.67899999999997</v>
      </c>
      <c r="H14" s="83">
        <f>H11*H13</f>
        <v>2960.1149700000001</v>
      </c>
      <c r="I14" s="83">
        <f>I11*I13</f>
        <v>3160.3013609999998</v>
      </c>
      <c r="J14" s="83">
        <f>J11*J13</f>
        <v>4079.767695</v>
      </c>
      <c r="K14" s="83">
        <f>K11*K13</f>
        <v>3470.1</v>
      </c>
      <c r="L14" s="83">
        <f t="shared" ref="L14:R14" si="10">L11*L13</f>
        <v>3539.502</v>
      </c>
      <c r="M14" s="83">
        <f t="shared" si="10"/>
        <v>3610.2920399999998</v>
      </c>
      <c r="N14" s="83">
        <f t="shared" si="10"/>
        <v>3682.4978808000001</v>
      </c>
      <c r="O14" s="83">
        <f>O11*O13</f>
        <v>3756.147838416</v>
      </c>
      <c r="P14" s="83">
        <f t="shared" si="10"/>
        <v>3793.7093168001602</v>
      </c>
      <c r="Q14" s="83">
        <f t="shared" si="10"/>
        <v>3831.6464099681616</v>
      </c>
      <c r="R14" s="83">
        <f t="shared" si="10"/>
        <v>3869.9628740678431</v>
      </c>
    </row>
    <row r="15" spans="1:28" ht="16.5" thickBot="1" x14ac:dyDescent="0.3">
      <c r="A15" s="12">
        <v>0.15</v>
      </c>
      <c r="B15" s="4" t="s">
        <v>29</v>
      </c>
      <c r="C15" s="95">
        <v>2566.9</v>
      </c>
      <c r="D15" s="95">
        <v>2402.8000000000002</v>
      </c>
      <c r="E15" s="95">
        <v>1294.3</v>
      </c>
      <c r="F15" s="95">
        <v>3340</v>
      </c>
      <c r="G15" s="95">
        <f>G11*0.4868</f>
        <v>2641.71756</v>
      </c>
      <c r="H15" s="83">
        <f>H11*0.5534</f>
        <v>3587.66453</v>
      </c>
      <c r="I15" s="83">
        <f>I11*0.4712</f>
        <v>3189.4067279999999</v>
      </c>
      <c r="J15" s="83">
        <f>J11*0.6065</f>
        <v>4422.4827650000007</v>
      </c>
      <c r="K15" s="83">
        <f>K11*0.5438</f>
        <v>3774.0807599999994</v>
      </c>
      <c r="L15" s="83">
        <f t="shared" ref="L15:Q15" si="11">L14*(1-$A$15)</f>
        <v>3008.5767000000001</v>
      </c>
      <c r="M15" s="83">
        <f t="shared" si="11"/>
        <v>3068.7482339999997</v>
      </c>
      <c r="N15" s="83">
        <f t="shared" si="11"/>
        <v>3130.1231986799999</v>
      </c>
      <c r="O15" s="83">
        <f t="shared" si="11"/>
        <v>3192.7256626536</v>
      </c>
      <c r="P15" s="83">
        <f t="shared" si="11"/>
        <v>3224.6529192801363</v>
      </c>
      <c r="Q15" s="83">
        <f t="shared" si="11"/>
        <v>3256.8994484729374</v>
      </c>
      <c r="R15" s="83">
        <f>R14*(1-$A$15)</f>
        <v>3289.4684429576664</v>
      </c>
    </row>
    <row r="16" spans="1:28" ht="32.25" thickBot="1" x14ac:dyDescent="0.3">
      <c r="A16" s="14" t="s">
        <v>6</v>
      </c>
      <c r="B16" s="15"/>
      <c r="C16" s="16"/>
      <c r="D16" s="16"/>
      <c r="E16" s="16"/>
      <c r="F16" s="16">
        <f t="shared" ref="F16:K16" si="12">F15/F14</f>
        <v>4.4789229129090868</v>
      </c>
      <c r="G16" s="16">
        <f t="shared" si="12"/>
        <v>3.1017760916965198</v>
      </c>
      <c r="H16" s="16">
        <f t="shared" si="12"/>
        <v>1.2120017520805957</v>
      </c>
      <c r="I16" s="16">
        <f t="shared" si="12"/>
        <v>1.0092096808738489</v>
      </c>
      <c r="J16" s="16">
        <f t="shared" si="12"/>
        <v>1.0840035746201968</v>
      </c>
      <c r="K16" s="16">
        <f t="shared" si="12"/>
        <v>1.0875999999999999</v>
      </c>
    </row>
    <row r="17" spans="1:18" x14ac:dyDescent="0.25">
      <c r="A17" s="2" t="s">
        <v>48</v>
      </c>
      <c r="G17" s="6"/>
      <c r="H17" s="6">
        <v>2.56</v>
      </c>
      <c r="I17" s="6">
        <v>2.73</v>
      </c>
      <c r="J17" s="6">
        <v>2.88</v>
      </c>
      <c r="K17" s="6">
        <v>2.91</v>
      </c>
      <c r="L17" s="97">
        <f>K17*1.07</f>
        <v>3.1137000000000001</v>
      </c>
      <c r="M17" s="97">
        <f>L17*1.06</f>
        <v>3.3005220000000004</v>
      </c>
      <c r="N17" s="97">
        <f>M17*1.06</f>
        <v>3.4985533200000005</v>
      </c>
      <c r="O17" s="97">
        <f>N17*1.06</f>
        <v>3.7084665192000008</v>
      </c>
      <c r="P17" s="97">
        <f>O17*1.06</f>
        <v>3.9309745103520011</v>
      </c>
      <c r="Q17" s="97">
        <f>P17*1.05</f>
        <v>4.1275232358696012</v>
      </c>
      <c r="R17" s="3"/>
    </row>
    <row r="18" spans="1:18" ht="16.5" thickBot="1" x14ac:dyDescent="0.3">
      <c r="A18" s="2" t="s">
        <v>49</v>
      </c>
      <c r="G18" s="6"/>
      <c r="H18" s="98">
        <f>H17*$C$50</f>
        <v>1988.0883200000001</v>
      </c>
      <c r="I18" s="98">
        <f t="shared" ref="I18:Q18" si="13">I17*$C$50</f>
        <v>2120.1098099999999</v>
      </c>
      <c r="J18" s="98">
        <f t="shared" si="13"/>
        <v>2236.5993599999997</v>
      </c>
      <c r="K18" s="98">
        <f t="shared" si="13"/>
        <v>2259.8972699999999</v>
      </c>
      <c r="L18" s="98">
        <f t="shared" si="13"/>
        <v>2418.0900789000002</v>
      </c>
      <c r="M18" s="98">
        <f t="shared" si="13"/>
        <v>2563.1754836340001</v>
      </c>
      <c r="N18" s="98">
        <f t="shared" si="13"/>
        <v>2716.9660126520403</v>
      </c>
      <c r="O18" s="98">
        <f t="shared" si="13"/>
        <v>2879.9839734111629</v>
      </c>
      <c r="P18" s="98">
        <f t="shared" si="13"/>
        <v>3052.7830118158331</v>
      </c>
      <c r="Q18" s="98">
        <f t="shared" si="13"/>
        <v>3205.4221624066245</v>
      </c>
      <c r="R18" s="3"/>
    </row>
    <row r="19" spans="1:18" ht="16.5" thickBot="1" x14ac:dyDescent="0.3">
      <c r="A19" s="2"/>
      <c r="F19" s="56" t="s">
        <v>12</v>
      </c>
      <c r="G19" s="57"/>
      <c r="H19" s="58">
        <f>H15/(1+$C$55)</f>
        <v>3371.3898698491757</v>
      </c>
      <c r="I19" s="58">
        <f>I15/(1+$C$55)^2</f>
        <v>2816.4640183472984</v>
      </c>
      <c r="J19" s="58">
        <f>J15/(1+$C$55)^3</f>
        <v>3669.9284818679807</v>
      </c>
      <c r="K19" s="58">
        <f>K15/(1+$C$55)^4</f>
        <v>2943.0645783850068</v>
      </c>
      <c r="L19" s="58">
        <f>L15/(1+$C$55)^5</f>
        <v>2204.686490591243</v>
      </c>
      <c r="M19" s="58">
        <f>M15/(1+$C$55)^6</f>
        <v>2113.2173287629262</v>
      </c>
      <c r="N19" s="58">
        <f>N15/(1+$C$55)^7</f>
        <v>2025.5430863489028</v>
      </c>
      <c r="O19" s="58">
        <f>O15/(1+$C$55)^8</f>
        <v>1941.5063177896734</v>
      </c>
      <c r="P19" s="58">
        <f>P15/(1+$C$55)^9</f>
        <v>1842.7114419654845</v>
      </c>
      <c r="Q19" s="58">
        <f>Q15/(1+$C$55)^10</f>
        <v>1748.9438109149455</v>
      </c>
      <c r="R19" s="59">
        <f>(R15/(C55-R12))/(1+C55)^10</f>
        <v>32621.112632023913</v>
      </c>
    </row>
    <row r="20" spans="1:18" x14ac:dyDescent="0.25">
      <c r="A20" s="2"/>
      <c r="C20" s="86" t="s">
        <v>47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C21" s="1" t="s">
        <v>42</v>
      </c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5" t="s">
        <v>31</v>
      </c>
      <c r="B23" s="36"/>
      <c r="C23" s="36"/>
      <c r="D23" s="37"/>
      <c r="E23" s="25"/>
      <c r="F23" s="36"/>
      <c r="G23" s="66" t="s">
        <v>32</v>
      </c>
      <c r="H23" s="25"/>
      <c r="I23" s="90">
        <v>5.0000000000000001E-3</v>
      </c>
      <c r="J23" s="26" t="s">
        <v>33</v>
      </c>
    </row>
    <row r="24" spans="1:18" x14ac:dyDescent="0.25">
      <c r="A24" s="38"/>
      <c r="B24" s="39"/>
      <c r="C24" s="39"/>
      <c r="D24" s="40"/>
      <c r="E24" s="39"/>
      <c r="F24" s="39"/>
      <c r="G24" s="27"/>
      <c r="H24" s="28"/>
      <c r="I24" s="91"/>
      <c r="J24" s="29"/>
    </row>
    <row r="25" spans="1:18" x14ac:dyDescent="0.25">
      <c r="A25" s="38"/>
      <c r="B25" s="39"/>
      <c r="C25" s="39"/>
      <c r="D25" s="41"/>
      <c r="E25" s="28"/>
      <c r="F25" s="39"/>
      <c r="G25" s="27" t="s">
        <v>34</v>
      </c>
      <c r="H25" s="28"/>
      <c r="I25" s="92">
        <f>(I27-I23)*I29</f>
        <v>5.9150000000000001E-2</v>
      </c>
      <c r="J25" s="29"/>
    </row>
    <row r="26" spans="1:18" x14ac:dyDescent="0.25">
      <c r="A26" s="38"/>
      <c r="B26" s="39"/>
      <c r="C26" s="39"/>
      <c r="D26" s="41"/>
      <c r="E26" s="28"/>
      <c r="F26" s="39"/>
      <c r="G26" s="27"/>
      <c r="H26" s="28"/>
      <c r="I26" s="91"/>
      <c r="J26" s="29"/>
    </row>
    <row r="27" spans="1:18" x14ac:dyDescent="0.25">
      <c r="A27" s="38"/>
      <c r="B27" s="39"/>
      <c r="C27" s="39"/>
      <c r="D27" s="41"/>
      <c r="E27" s="28"/>
      <c r="F27" s="39"/>
      <c r="G27" s="27" t="s">
        <v>35</v>
      </c>
      <c r="H27" s="28"/>
      <c r="I27" s="93">
        <v>7.0000000000000007E-2</v>
      </c>
      <c r="J27" s="29" t="s">
        <v>36</v>
      </c>
    </row>
    <row r="28" spans="1:18" x14ac:dyDescent="0.25">
      <c r="A28" s="38"/>
      <c r="B28" s="39"/>
      <c r="C28" s="39"/>
      <c r="D28" s="42"/>
      <c r="E28" s="28"/>
      <c r="F28" s="39"/>
      <c r="G28" s="27"/>
      <c r="H28" s="28"/>
      <c r="I28" s="91"/>
      <c r="J28" s="29"/>
    </row>
    <row r="29" spans="1:18" x14ac:dyDescent="0.25">
      <c r="A29" s="38"/>
      <c r="B29" s="39"/>
      <c r="C29" s="39"/>
      <c r="D29" s="42"/>
      <c r="E29" s="28"/>
      <c r="F29" s="39"/>
      <c r="G29" s="27" t="s">
        <v>37</v>
      </c>
      <c r="H29" s="28"/>
      <c r="I29" s="91">
        <v>0.91</v>
      </c>
      <c r="J29" s="29" t="s">
        <v>38</v>
      </c>
    </row>
    <row r="30" spans="1:18" x14ac:dyDescent="0.25">
      <c r="A30" s="38"/>
      <c r="B30" s="39"/>
      <c r="C30" s="39"/>
      <c r="D30" s="43"/>
      <c r="E30" s="28"/>
      <c r="F30" s="39"/>
      <c r="G30" s="27"/>
      <c r="H30" s="28"/>
      <c r="I30" s="91"/>
      <c r="J30" s="29"/>
    </row>
    <row r="31" spans="1:18" x14ac:dyDescent="0.25">
      <c r="A31" s="38"/>
      <c r="B31" s="39"/>
      <c r="C31" s="39"/>
      <c r="D31" s="40"/>
      <c r="E31" s="28"/>
      <c r="F31" s="39"/>
      <c r="G31" s="27" t="s">
        <v>39</v>
      </c>
      <c r="H31" s="28"/>
      <c r="I31" s="93">
        <f>I23+(I27-I23)*I29</f>
        <v>6.4149999999999999E-2</v>
      </c>
      <c r="J31" s="29" t="s">
        <v>40</v>
      </c>
    </row>
    <row r="32" spans="1:18" x14ac:dyDescent="0.25">
      <c r="A32" s="27"/>
      <c r="B32" s="28"/>
      <c r="C32" s="44"/>
      <c r="D32" s="28"/>
      <c r="E32" s="39"/>
      <c r="F32" s="39"/>
      <c r="G32" s="27"/>
      <c r="H32" s="28"/>
      <c r="I32" s="28"/>
      <c r="J32" s="29"/>
    </row>
    <row r="33" spans="1:10" x14ac:dyDescent="0.25">
      <c r="A33" s="27"/>
      <c r="B33" s="28"/>
      <c r="C33" s="28"/>
      <c r="D33" s="28"/>
      <c r="E33" s="28"/>
      <c r="F33" s="28"/>
      <c r="G33" s="87" t="s">
        <v>43</v>
      </c>
      <c r="H33" s="88"/>
      <c r="I33" s="89">
        <f>I31</f>
        <v>6.4149999999999999E-2</v>
      </c>
      <c r="J33" s="29"/>
    </row>
    <row r="34" spans="1:10" x14ac:dyDescent="0.25">
      <c r="A34" s="38" t="s">
        <v>7</v>
      </c>
      <c r="B34" s="39"/>
      <c r="C34" s="45"/>
      <c r="D34" s="30"/>
      <c r="E34" s="28"/>
      <c r="F34" s="28"/>
      <c r="G34" s="27"/>
      <c r="H34" s="28"/>
      <c r="I34" s="28"/>
      <c r="J34" s="29"/>
    </row>
    <row r="35" spans="1:10" ht="15.75" hidden="1" customHeight="1" x14ac:dyDescent="0.25">
      <c r="A35" s="27"/>
      <c r="B35" s="28"/>
      <c r="C35" s="28"/>
      <c r="D35" s="28"/>
      <c r="E35" s="28"/>
      <c r="F35" s="28"/>
      <c r="G35" s="27"/>
      <c r="H35" s="28"/>
      <c r="I35" s="28"/>
      <c r="J35" s="29"/>
    </row>
    <row r="36" spans="1:10" ht="15.75" hidden="1" customHeight="1" x14ac:dyDescent="0.25">
      <c r="A36" s="27"/>
      <c r="B36" s="28" t="s">
        <v>8</v>
      </c>
      <c r="C36" s="28"/>
      <c r="D36" s="46">
        <v>0.08</v>
      </c>
      <c r="E36" s="28"/>
      <c r="F36" s="28"/>
      <c r="G36" s="27"/>
      <c r="H36" s="28"/>
      <c r="I36" s="28"/>
      <c r="J36" s="29"/>
    </row>
    <row r="37" spans="1:10" ht="15.75" hidden="1" customHeight="1" x14ac:dyDescent="0.25">
      <c r="A37" s="27"/>
      <c r="B37" s="28"/>
      <c r="C37" s="28"/>
      <c r="D37" s="28"/>
      <c r="E37" s="28"/>
      <c r="F37" s="28"/>
      <c r="G37" s="27"/>
      <c r="H37" s="28"/>
      <c r="I37" s="28"/>
      <c r="J37" s="29"/>
    </row>
    <row r="38" spans="1:10" ht="15.75" hidden="1" customHeight="1" x14ac:dyDescent="0.25">
      <c r="A38" s="27"/>
      <c r="B38" s="28"/>
      <c r="C38" s="28"/>
      <c r="D38" s="28"/>
      <c r="E38" s="28"/>
      <c r="F38" s="28"/>
      <c r="G38" s="27"/>
      <c r="H38" s="28"/>
      <c r="I38" s="28"/>
      <c r="J38" s="29"/>
    </row>
    <row r="39" spans="1:10" ht="15.75" hidden="1" customHeight="1" x14ac:dyDescent="0.25">
      <c r="A39" s="27"/>
      <c r="B39" s="28"/>
      <c r="C39" s="28"/>
      <c r="D39" s="28"/>
      <c r="E39" s="28"/>
      <c r="F39" s="28"/>
      <c r="G39" s="27"/>
      <c r="H39" s="28"/>
      <c r="I39" s="28"/>
      <c r="J39" s="29"/>
    </row>
    <row r="40" spans="1:10" hidden="1" x14ac:dyDescent="0.25">
      <c r="A40" s="27"/>
      <c r="B40" s="47"/>
      <c r="C40" s="47">
        <v>0.12</v>
      </c>
      <c r="D40" s="47" t="e">
        <f>((NPV(C40,$H$15:$R$15)+(#REF!*(1+#REF!)/(C40-#REF!))/(1+C40)^(2040-2020))/$D$50)/$C$51-1</f>
        <v>#REF!</v>
      </c>
      <c r="E40" s="28"/>
      <c r="F40" s="28"/>
      <c r="G40" s="27"/>
      <c r="H40" s="28"/>
      <c r="I40" s="28"/>
      <c r="J40" s="29"/>
    </row>
    <row r="41" spans="1:10" hidden="1" x14ac:dyDescent="0.25">
      <c r="A41" s="27"/>
      <c r="B41" s="47"/>
      <c r="C41" s="47">
        <v>0.14000000000000001</v>
      </c>
      <c r="D41" s="47" t="e">
        <f>((NPV(C41,$H$15:$R$15)+(#REF!*(1+#REF!)/(C41-#REF!))/(1+C41)^(2040-2020))/$D$50)/$C$51-1</f>
        <v>#REF!</v>
      </c>
      <c r="E41" s="28"/>
      <c r="F41" s="28"/>
      <c r="G41" s="27"/>
      <c r="H41" s="28"/>
      <c r="I41" s="28"/>
      <c r="J41" s="29"/>
    </row>
    <row r="42" spans="1:10" hidden="1" x14ac:dyDescent="0.25">
      <c r="A42" s="27"/>
      <c r="B42" s="47"/>
      <c r="C42" s="47">
        <v>0.16</v>
      </c>
      <c r="D42" s="47" t="e">
        <f>((NPV(C42,$H$15:$R$15)+(#REF!*(1+#REF!)/(C42-#REF!))/(1+C42)^(2040-2020))/$D$50)/$C$51-1</f>
        <v>#REF!</v>
      </c>
      <c r="E42" s="28"/>
      <c r="F42" s="28"/>
      <c r="G42" s="27"/>
      <c r="H42" s="28"/>
      <c r="I42" s="28"/>
      <c r="J42" s="29"/>
    </row>
    <row r="43" spans="1:10" hidden="1" x14ac:dyDescent="0.25">
      <c r="A43" s="27"/>
      <c r="B43" s="47"/>
      <c r="C43" s="47">
        <v>0.18</v>
      </c>
      <c r="D43" s="47" t="e">
        <f>((NPV(C43,$H$15:$R$15)+(#REF!*(1+#REF!)/(C43-#REF!))/(1+C43)^(2040-2020))/$D$50)/$C$51-1</f>
        <v>#REF!</v>
      </c>
      <c r="E43" s="28"/>
      <c r="F43" s="28"/>
      <c r="G43" s="27"/>
      <c r="H43" s="28"/>
      <c r="I43" s="28"/>
      <c r="J43" s="29"/>
    </row>
    <row r="44" spans="1:10" hidden="1" x14ac:dyDescent="0.25">
      <c r="A44" s="27"/>
      <c r="B44" s="47"/>
      <c r="C44" s="47">
        <v>0.2</v>
      </c>
      <c r="D44" s="47" t="e">
        <f>((NPV(C44,$H$15:$R$15)+(#REF!*(1+#REF!)/(C44-#REF!))/(1+C44)^(2040-2020))/$D$50)/$C$51-1</f>
        <v>#REF!</v>
      </c>
      <c r="E44" s="28"/>
      <c r="F44" s="28"/>
      <c r="G44" s="27"/>
      <c r="H44" s="28"/>
      <c r="I44" s="28"/>
      <c r="J44" s="29"/>
    </row>
    <row r="45" spans="1:10" x14ac:dyDescent="0.25">
      <c r="A45" s="27"/>
      <c r="B45" s="28"/>
      <c r="C45" s="28"/>
      <c r="D45" s="28"/>
      <c r="E45" s="28"/>
      <c r="F45" s="28"/>
      <c r="G45" s="27"/>
      <c r="H45" s="28"/>
      <c r="I45" s="28"/>
      <c r="J45" s="29"/>
    </row>
    <row r="46" spans="1:10" ht="16.5" thickBot="1" x14ac:dyDescent="0.3">
      <c r="A46" s="31"/>
      <c r="B46" s="32" t="s">
        <v>25</v>
      </c>
      <c r="C46" s="32"/>
      <c r="D46" s="48">
        <f>I33</f>
        <v>6.4149999999999999E-2</v>
      </c>
      <c r="E46" s="32"/>
      <c r="F46" s="32"/>
      <c r="G46" s="31"/>
      <c r="H46" s="32"/>
      <c r="I46" s="32"/>
      <c r="J46" s="33"/>
    </row>
    <row r="48" spans="1:10" x14ac:dyDescent="0.25">
      <c r="A48" s="17"/>
      <c r="B48" s="18"/>
      <c r="C48" s="19">
        <v>44643</v>
      </c>
      <c r="D48" s="20" t="s">
        <v>3</v>
      </c>
      <c r="E48" s="21"/>
      <c r="F48" s="22"/>
      <c r="G48" s="23"/>
      <c r="H48" s="23"/>
      <c r="I48" s="23"/>
    </row>
    <row r="49" spans="1:17" x14ac:dyDescent="0.25">
      <c r="A49" s="49" t="s">
        <v>0</v>
      </c>
      <c r="B49" s="50" t="s">
        <v>5</v>
      </c>
      <c r="C49" s="81">
        <f>C50*C51</f>
        <v>33145.159959999997</v>
      </c>
      <c r="D49" s="52">
        <f>SUM(H19:R19)</f>
        <v>57298.568056846547</v>
      </c>
      <c r="E49" s="50" t="s">
        <v>44</v>
      </c>
    </row>
    <row r="50" spans="1:17" x14ac:dyDescent="0.25">
      <c r="A50" s="49"/>
      <c r="B50" s="50" t="s">
        <v>11</v>
      </c>
      <c r="C50" s="51">
        <v>776.59699999999998</v>
      </c>
      <c r="D50" s="51">
        <f>C50</f>
        <v>776.59699999999998</v>
      </c>
      <c r="E50" s="50"/>
    </row>
    <row r="51" spans="1:17" x14ac:dyDescent="0.25">
      <c r="A51" s="49"/>
      <c r="B51" s="50" t="s">
        <v>13</v>
      </c>
      <c r="C51" s="63">
        <v>42.68</v>
      </c>
      <c r="D51" s="63">
        <f>D49/(D50)</f>
        <v>73.781598508423997</v>
      </c>
      <c r="E51" s="50" t="s">
        <v>44</v>
      </c>
    </row>
    <row r="52" spans="1:17" x14ac:dyDescent="0.25">
      <c r="A52" s="49"/>
      <c r="B52" s="50" t="s">
        <v>2</v>
      </c>
      <c r="C52" s="50"/>
      <c r="D52" s="64">
        <f>IF(C51/D51-1&gt;0,0,C51/D51-1)*-1</f>
        <v>0.42153598101934564</v>
      </c>
      <c r="E52" s="50"/>
    </row>
    <row r="53" spans="1:17" x14ac:dyDescent="0.25">
      <c r="A53" s="49"/>
      <c r="B53" s="50" t="s">
        <v>14</v>
      </c>
      <c r="C53" s="50"/>
      <c r="D53" s="65">
        <f>IF(C51/D51-1&lt;0,0,C51/D51-1)</f>
        <v>0</v>
      </c>
      <c r="E53" s="50"/>
    </row>
    <row r="54" spans="1:17" x14ac:dyDescent="0.25">
      <c r="A54" s="50"/>
      <c r="B54" s="50"/>
      <c r="C54" s="50"/>
      <c r="D54" s="53"/>
      <c r="E54" s="53"/>
    </row>
    <row r="55" spans="1:17" x14ac:dyDescent="0.25">
      <c r="A55" s="53" t="s">
        <v>24</v>
      </c>
      <c r="B55" s="50"/>
      <c r="C55" s="55">
        <f>D46</f>
        <v>6.4149999999999999E-2</v>
      </c>
      <c r="D55" s="54"/>
      <c r="E55" s="50"/>
      <c r="J55" s="80"/>
    </row>
    <row r="56" spans="1:17" x14ac:dyDescent="0.25">
      <c r="A56" s="53"/>
      <c r="B56" s="50"/>
      <c r="C56" s="55"/>
      <c r="D56" s="54"/>
      <c r="E56" s="50"/>
    </row>
    <row r="57" spans="1:17" hidden="1" x14ac:dyDescent="0.25">
      <c r="A57" s="53" t="s">
        <v>27</v>
      </c>
      <c r="B57" s="84">
        <v>0.108</v>
      </c>
      <c r="C57" s="55"/>
      <c r="D57" s="85">
        <f>SUM(H57:Q57)*1000</f>
        <v>31301501.496459283</v>
      </c>
      <c r="E57" s="50"/>
      <c r="F57" s="1" t="s">
        <v>28</v>
      </c>
      <c r="H57" s="1">
        <f>H15/(1+$B$57)</f>
        <v>3237.9643772563172</v>
      </c>
      <c r="I57" s="1">
        <f>I15/(1+$B$57)^2</f>
        <v>2597.9475882651923</v>
      </c>
      <c r="J57" s="1">
        <f>J15/(1+$B$57)^3</f>
        <v>3251.2238183457616</v>
      </c>
      <c r="K57" s="1">
        <f>K15/(1+$B$57)^4</f>
        <v>2504.1027643287862</v>
      </c>
      <c r="L57" s="1">
        <f>L15/(1+$B$57)^5</f>
        <v>1801.6162310424982</v>
      </c>
      <c r="M57" s="1">
        <f>M15/(1+$B$57)^6</f>
        <v>1658.5275773134906</v>
      </c>
      <c r="N57" s="1">
        <f>N15/(1+$B$57)^7</f>
        <v>1526.8033653968957</v>
      </c>
      <c r="O57" s="1">
        <f>O15/(1+$B$57)^8</f>
        <v>1405.5410042462393</v>
      </c>
      <c r="P57" s="1">
        <f>P15/(1+$B$57)^9</f>
        <v>1281.224200621572</v>
      </c>
      <c r="Q57" s="1">
        <f>(R15/(B57-R12))/(1+B57)^10</f>
        <v>12036.550569642535</v>
      </c>
    </row>
    <row r="58" spans="1:17" ht="16.5" thickBot="1" x14ac:dyDescent="0.3">
      <c r="A58" s="24"/>
      <c r="C58" s="74"/>
      <c r="D58" s="75"/>
    </row>
    <row r="59" spans="1:17" x14ac:dyDescent="0.25">
      <c r="A59" s="66" t="s">
        <v>50</v>
      </c>
      <c r="B59" s="25"/>
      <c r="C59" s="77">
        <v>25</v>
      </c>
      <c r="D59" s="25"/>
      <c r="E59" s="26"/>
    </row>
    <row r="60" spans="1:17" x14ac:dyDescent="0.25">
      <c r="A60" s="27" t="s">
        <v>26</v>
      </c>
      <c r="B60" s="28"/>
      <c r="C60" s="78"/>
      <c r="D60" s="28"/>
      <c r="E60" s="29"/>
    </row>
    <row r="61" spans="1:17" x14ac:dyDescent="0.25">
      <c r="A61" s="27"/>
      <c r="B61" s="28"/>
      <c r="C61" s="78"/>
      <c r="D61" s="28"/>
      <c r="E61" s="29"/>
    </row>
    <row r="62" spans="1:17" x14ac:dyDescent="0.25">
      <c r="A62" s="27" t="s">
        <v>17</v>
      </c>
      <c r="B62" s="28"/>
      <c r="C62" s="78"/>
      <c r="D62" s="28"/>
      <c r="E62" s="67">
        <f>Q18*C59</f>
        <v>80135.55406016561</v>
      </c>
    </row>
    <row r="63" spans="1:17" x14ac:dyDescent="0.25">
      <c r="A63" s="27"/>
      <c r="B63" s="28"/>
      <c r="C63" s="78"/>
      <c r="D63" s="28"/>
      <c r="E63" s="29"/>
    </row>
    <row r="64" spans="1:17" x14ac:dyDescent="0.25">
      <c r="A64" s="27" t="s">
        <v>18</v>
      </c>
      <c r="B64" s="28"/>
      <c r="C64" s="79">
        <v>0.5</v>
      </c>
      <c r="D64" s="28"/>
      <c r="E64" s="29"/>
    </row>
    <row r="65" spans="1:5" x14ac:dyDescent="0.25">
      <c r="A65" s="27"/>
      <c r="B65" s="28"/>
      <c r="C65" s="28"/>
      <c r="D65" s="28"/>
      <c r="E65" s="29"/>
    </row>
    <row r="66" spans="1:5" x14ac:dyDescent="0.25">
      <c r="A66" s="27" t="s">
        <v>19</v>
      </c>
      <c r="B66" s="28"/>
      <c r="C66" s="28"/>
      <c r="D66" s="28"/>
      <c r="E66" s="67">
        <f>SUM(H15:R15)*C64</f>
        <v>18572.414694522169</v>
      </c>
    </row>
    <row r="67" spans="1:5" x14ac:dyDescent="0.25">
      <c r="A67" s="27"/>
      <c r="B67" s="28"/>
      <c r="C67" s="28"/>
      <c r="D67" s="28"/>
      <c r="E67" s="68"/>
    </row>
    <row r="68" spans="1:5" x14ac:dyDescent="0.25">
      <c r="A68" s="69" t="s">
        <v>20</v>
      </c>
      <c r="B68" s="28"/>
      <c r="C68" s="28"/>
      <c r="D68" s="28"/>
      <c r="E68" s="70">
        <f>(E66*0.25)*-1</f>
        <v>-4643.1036736305423</v>
      </c>
    </row>
    <row r="69" spans="1:5" x14ac:dyDescent="0.25">
      <c r="A69" s="27"/>
      <c r="B69" s="28"/>
      <c r="C69" s="47"/>
      <c r="D69" s="47"/>
      <c r="E69" s="71"/>
    </row>
    <row r="70" spans="1:5" x14ac:dyDescent="0.25">
      <c r="A70" s="27" t="s">
        <v>21</v>
      </c>
      <c r="B70" s="28"/>
      <c r="C70" s="28"/>
      <c r="D70" s="28"/>
      <c r="E70" s="67">
        <f>SUM(E62:E68)</f>
        <v>94064.865081057244</v>
      </c>
    </row>
    <row r="71" spans="1:5" x14ac:dyDescent="0.25">
      <c r="A71" s="27"/>
      <c r="B71" s="28"/>
      <c r="C71" s="28"/>
      <c r="D71" s="28"/>
      <c r="E71" s="67"/>
    </row>
    <row r="72" spans="1:5" x14ac:dyDescent="0.25">
      <c r="A72" s="27" t="s">
        <v>22</v>
      </c>
      <c r="B72" s="28"/>
      <c r="C72" s="28"/>
      <c r="D72" s="28"/>
      <c r="E72" s="71">
        <f>E70/C49-1</f>
        <v>1.8379668462778858</v>
      </c>
    </row>
    <row r="73" spans="1:5" x14ac:dyDescent="0.25">
      <c r="A73" s="27"/>
      <c r="B73" s="28"/>
      <c r="C73" s="28"/>
      <c r="D73" s="28"/>
      <c r="E73" s="29"/>
    </row>
    <row r="74" spans="1:5" ht="16.5" thickBot="1" x14ac:dyDescent="0.3">
      <c r="A74" s="72" t="s">
        <v>23</v>
      </c>
      <c r="B74" s="73"/>
      <c r="C74" s="73"/>
      <c r="D74" s="73"/>
      <c r="E74" s="76">
        <f>(E70/C49)^(1/10)-1</f>
        <v>0.10994314096868951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Christian Lämmle</cp:lastModifiedBy>
  <cp:lastPrinted>2021-08-03T18:16:56Z</cp:lastPrinted>
  <dcterms:created xsi:type="dcterms:W3CDTF">2020-02-09T06:30:31Z</dcterms:created>
  <dcterms:modified xsi:type="dcterms:W3CDTF">2022-03-25T21:36:26Z</dcterms:modified>
</cp:coreProperties>
</file>