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Recruit Holdings/"/>
    </mc:Choice>
  </mc:AlternateContent>
  <xr:revisionPtr revIDLastSave="540" documentId="11_AD4DB114E441178AC67DF43D2651DE8E683EDF25" xr6:coauthVersionLast="47" xr6:coauthVersionMax="47" xr10:uidLastSave="{7F8FB3AA-E4D5-4A11-BC68-DC27453EA3E7}"/>
  <bookViews>
    <workbookView xWindow="-120" yWindow="-120" windowWidth="29040" windowHeight="15720" xr2:uid="{00000000-000D-0000-FFFF-FFFF00000000}"/>
  </bookViews>
  <sheets>
    <sheet name="Sum of the Parts" sheetId="1" r:id="rId1"/>
    <sheet name="Renditeerwart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2" l="1"/>
  <c r="J12" i="2"/>
  <c r="H12" i="2"/>
  <c r="I12" i="2"/>
  <c r="G12" i="2"/>
  <c r="H11" i="2"/>
  <c r="C48" i="2" l="1"/>
  <c r="D49" i="2" l="1"/>
  <c r="D45" i="2"/>
  <c r="C54" i="2" s="1"/>
  <c r="D43" i="2"/>
  <c r="D42" i="2"/>
  <c r="D41" i="2"/>
  <c r="D40" i="2"/>
  <c r="D39" i="2"/>
  <c r="G15" i="2"/>
  <c r="F15" i="2"/>
  <c r="J18" i="2"/>
  <c r="I56" i="2"/>
  <c r="H56" i="2"/>
  <c r="I15" i="2"/>
  <c r="F12" i="2"/>
  <c r="E12" i="2"/>
  <c r="D12" i="2"/>
  <c r="C12" i="2"/>
  <c r="J11" i="2"/>
  <c r="I11" i="2"/>
  <c r="G11" i="2"/>
  <c r="F11" i="2"/>
  <c r="E11" i="2"/>
  <c r="D11" i="2"/>
  <c r="K10" i="2"/>
  <c r="L10" i="2" s="1"/>
  <c r="E64" i="1"/>
  <c r="E69" i="1"/>
  <c r="E62" i="1"/>
  <c r="E60" i="1"/>
  <c r="E56" i="1"/>
  <c r="E52" i="1"/>
  <c r="V50" i="1"/>
  <c r="R50" i="1"/>
  <c r="R33" i="1"/>
  <c r="R25" i="1"/>
  <c r="R8" i="1"/>
  <c r="R17" i="1" s="1"/>
  <c r="R42" i="1"/>
  <c r="V42" i="1" s="1"/>
  <c r="P42" i="1"/>
  <c r="J42" i="1"/>
  <c r="J25" i="1"/>
  <c r="P25" i="1"/>
  <c r="V8" i="1"/>
  <c r="V17" i="1" s="1"/>
  <c r="P8" i="1"/>
  <c r="J8" i="1"/>
  <c r="I18" i="2" l="1"/>
  <c r="J15" i="2"/>
  <c r="K13" i="2"/>
  <c r="H18" i="2"/>
  <c r="J56" i="2"/>
  <c r="M10" i="2"/>
  <c r="L13" i="2"/>
  <c r="L14" i="2" s="1"/>
  <c r="H15" i="2"/>
  <c r="E19" i="1"/>
  <c r="V25" i="1"/>
  <c r="V33" i="1" s="1"/>
  <c r="E35" i="1" s="1"/>
  <c r="K14" i="2" l="1"/>
  <c r="K18" i="2"/>
  <c r="K15" i="2"/>
  <c r="K56" i="2"/>
  <c r="M13" i="2"/>
  <c r="M14" i="2" s="1"/>
  <c r="N10" i="2"/>
  <c r="L18" i="2"/>
  <c r="L56" i="2"/>
  <c r="M56" i="2" l="1"/>
  <c r="M18" i="2"/>
  <c r="O10" i="2"/>
  <c r="N13" i="2"/>
  <c r="N14" i="2" s="1"/>
  <c r="N56" i="2" l="1"/>
  <c r="N18" i="2"/>
  <c r="P10" i="2"/>
  <c r="O13" i="2"/>
  <c r="O14" i="2" s="1"/>
  <c r="Q10" i="2" l="1"/>
  <c r="P13" i="2"/>
  <c r="P14" i="2" s="1"/>
  <c r="O56" i="2"/>
  <c r="O18" i="2"/>
  <c r="P56" i="2" l="1"/>
  <c r="P18" i="2"/>
  <c r="R10" i="2"/>
  <c r="Q13" i="2"/>
  <c r="Q14" i="2" s="1"/>
  <c r="E61" i="2" s="1"/>
  <c r="R13" i="2" l="1"/>
  <c r="R14" i="2" s="1"/>
  <c r="Q18" i="2"/>
  <c r="R18" i="2" l="1"/>
  <c r="E65" i="2"/>
  <c r="E67" i="2" s="1"/>
  <c r="Q56" i="2"/>
  <c r="D56" i="2" s="1"/>
  <c r="E69" i="2"/>
  <c r="E73" i="2" s="1"/>
  <c r="D48" i="2"/>
  <c r="D50" i="2" s="1"/>
  <c r="E71" i="2" l="1"/>
  <c r="D52" i="2"/>
  <c r="D51" i="2"/>
</calcChain>
</file>

<file path=xl/sharedStrings.xml><?xml version="1.0" encoding="utf-8"?>
<sst xmlns="http://schemas.openxmlformats.org/spreadsheetml/2006/main" count="121" uniqueCount="78">
  <si>
    <t>Branche</t>
  </si>
  <si>
    <t>HR Technology:</t>
  </si>
  <si>
    <t>EBTIDA Marge</t>
  </si>
  <si>
    <t>EBITDA</t>
  </si>
  <si>
    <t>In Mrd. Yen</t>
  </si>
  <si>
    <t>9 Monate</t>
  </si>
  <si>
    <t>EBITDA Marge</t>
  </si>
  <si>
    <t>Umsatz</t>
  </si>
  <si>
    <t xml:space="preserve">Zeitraum </t>
  </si>
  <si>
    <t>volles Jahr</t>
  </si>
  <si>
    <t>volles Jahr geschätz</t>
  </si>
  <si>
    <t>HR Bewertung:</t>
  </si>
  <si>
    <t>KUV optimistisch</t>
  </si>
  <si>
    <t>KUV pessimistisch</t>
  </si>
  <si>
    <t>EBITDA optimistisch</t>
  </si>
  <si>
    <t xml:space="preserve">EBITDA pesimistisch </t>
  </si>
  <si>
    <t>Durchschnittswert:</t>
  </si>
  <si>
    <t>Wertannahme nach Holdingabschlag 80 %</t>
  </si>
  <si>
    <t>Media Solutions:</t>
  </si>
  <si>
    <t>YOY -15 %</t>
  </si>
  <si>
    <t>117 % YoY Wachstum</t>
  </si>
  <si>
    <t>YOY -20 %</t>
  </si>
  <si>
    <t>Staffing:</t>
  </si>
  <si>
    <t>Verkehrswert der Beteiligungen</t>
  </si>
  <si>
    <t>Schulden gesamt:</t>
  </si>
  <si>
    <t>Cash und ähnliches Vermögen:</t>
  </si>
  <si>
    <t>Gesamtwert Recruit Holdings</t>
  </si>
  <si>
    <t>fairer Wert je Aktie:</t>
  </si>
  <si>
    <t>Preis je Aktie</t>
  </si>
  <si>
    <t>Börsenwert</t>
  </si>
  <si>
    <t>Anzahl der Aktien in Mrd.</t>
  </si>
  <si>
    <t>Schätzungen »</t>
  </si>
  <si>
    <t>Umsatz-Wachstum, %</t>
  </si>
  <si>
    <t>EBIT Marge, %</t>
  </si>
  <si>
    <t>EBIT</t>
  </si>
  <si>
    <t xml:space="preserve">Gewinn </t>
  </si>
  <si>
    <t>Verhältnis EBIT zu Konzerngewinn:</t>
  </si>
  <si>
    <t>Abgezinster Gewinn:</t>
  </si>
  <si>
    <t>25 % Abschlag vom EBIT für Zins und Steuern</t>
  </si>
  <si>
    <t>(ab 2025)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</si>
  <si>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</si>
  <si>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</si>
  <si>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</si>
  <si>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</si>
  <si>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</si>
  <si>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</si>
  <si>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</si>
  <si>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</si>
  <si>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</si>
  <si>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>Keine Rundung</t>
  </si>
  <si>
    <t>EK Quote:</t>
  </si>
  <si>
    <t>Vereinfachter WACC:</t>
  </si>
  <si>
    <t>EK-Zins</t>
  </si>
  <si>
    <t>Fairer Wert</t>
  </si>
  <si>
    <t>Bewertung</t>
  </si>
  <si>
    <t>Marktkapitalisierung, Mio.</t>
  </si>
  <si>
    <t xml:space="preserve">Kurs pro Aktie </t>
  </si>
  <si>
    <t>Unterbewertung</t>
  </si>
  <si>
    <t>Überbewertung</t>
  </si>
  <si>
    <t>Eigenkapitalzins</t>
  </si>
  <si>
    <t>Nullzinsmarkterwartung:</t>
  </si>
  <si>
    <t>Abgezinster Gewinn in Mrd. USD:</t>
  </si>
  <si>
    <t>Gewinnmultiple in 2031</t>
  </si>
  <si>
    <t xml:space="preserve">Umsatzmultiple 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</si>
  <si>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</si>
  <si>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</si>
  <si>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</si>
  <si>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</si>
  <si>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</si>
  <si>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</si>
  <si>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</si>
  <si>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In Mrd. JPY</t>
  </si>
  <si>
    <t>Recruit Holdings:</t>
  </si>
  <si>
    <t>Beta Faktor:</t>
  </si>
  <si>
    <t>Anzahl Aktien gesamt, Mrd.</t>
  </si>
  <si>
    <t>JPY</t>
  </si>
  <si>
    <t>2031ff.</t>
  </si>
  <si>
    <t>Sum of the Parts: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</si>
</sst>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00"/>
    <numFmt numFmtId="166" formatCode="_-* #,##0.00\ [$JPY]_-;\-* #,##0.00\ [$JPY]_-;_-* &quot;-&quot;??\ [$JPY]_-;_-@_-"/>
    <numFmt numFmtId="167" formatCode="dd\.mm\.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10" fontId="5" fillId="3" borderId="0" xfId="1" applyNumberFormat="1" applyFont="1" applyFill="1" applyAlignment="1">
      <alignment horizontal="center"/>
    </xf>
    <xf numFmtId="10" fontId="5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164" fontId="5" fillId="4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0" xfId="0" applyFill="1" applyAlignment="1">
      <alignment horizontal="center"/>
    </xf>
    <xf numFmtId="166" fontId="0" fillId="5" borderId="0" xfId="0" applyNumberFormat="1" applyFill="1" applyAlignment="1">
      <alignment horizontal="center"/>
    </xf>
    <xf numFmtId="0" fontId="0" fillId="6" borderId="0" xfId="0" applyFill="1"/>
    <xf numFmtId="0" fontId="4" fillId="6" borderId="0" xfId="0" applyFont="1" applyFill="1"/>
    <xf numFmtId="0" fontId="8" fillId="6" borderId="0" xfId="0" applyFont="1" applyFill="1"/>
    <xf numFmtId="0" fontId="0" fillId="4" borderId="0" xfId="0" applyFill="1"/>
    <xf numFmtId="0" fontId="4" fillId="3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right" vertical="center"/>
    </xf>
    <xf numFmtId="0" fontId="0" fillId="7" borderId="0" xfId="0" applyFill="1"/>
    <xf numFmtId="0" fontId="4" fillId="4" borderId="0" xfId="0" applyFont="1" applyFill="1" applyAlignment="1">
      <alignment vertical="center" wrapText="1"/>
    </xf>
    <xf numFmtId="4" fontId="10" fillId="3" borderId="0" xfId="0" applyNumberFormat="1" applyFont="1" applyFill="1"/>
    <xf numFmtId="4" fontId="0" fillId="2" borderId="0" xfId="0" applyNumberFormat="1" applyFill="1"/>
    <xf numFmtId="9" fontId="10" fillId="3" borderId="0" xfId="1" applyFont="1" applyFill="1"/>
    <xf numFmtId="9" fontId="0" fillId="2" borderId="0" xfId="1" applyFont="1" applyFill="1"/>
    <xf numFmtId="164" fontId="5" fillId="2" borderId="0" xfId="1" applyNumberFormat="1" applyFont="1" applyFill="1"/>
    <xf numFmtId="164" fontId="0" fillId="2" borderId="0" xfId="1" applyNumberFormat="1" applyFont="1" applyFill="1"/>
    <xf numFmtId="9" fontId="5" fillId="8" borderId="0" xfId="1" applyFont="1" applyFill="1"/>
    <xf numFmtId="0" fontId="0" fillId="7" borderId="7" xfId="0" applyFill="1" applyBorder="1" applyAlignment="1">
      <alignment wrapText="1"/>
    </xf>
    <xf numFmtId="0" fontId="11" fillId="7" borderId="8" xfId="0" applyFont="1" applyFill="1" applyBorder="1"/>
    <xf numFmtId="9" fontId="0" fillId="7" borderId="9" xfId="1" applyFont="1" applyFill="1" applyBorder="1"/>
    <xf numFmtId="0" fontId="0" fillId="7" borderId="0" xfId="0" applyFill="1" applyAlignment="1">
      <alignment wrapText="1"/>
    </xf>
    <xf numFmtId="0" fontId="10" fillId="7" borderId="0" xfId="0" applyFont="1" applyFill="1"/>
    <xf numFmtId="0" fontId="12" fillId="7" borderId="0" xfId="0" applyFont="1" applyFill="1"/>
    <xf numFmtId="0" fontId="0" fillId="7" borderId="7" xfId="0" applyFill="1" applyBorder="1"/>
    <xf numFmtId="0" fontId="10" fillId="7" borderId="8" xfId="0" applyFont="1" applyFill="1" applyBorder="1"/>
    <xf numFmtId="2" fontId="12" fillId="7" borderId="8" xfId="0" applyNumberFormat="1" applyFont="1" applyFill="1" applyBorder="1"/>
    <xf numFmtId="2" fontId="12" fillId="7" borderId="9" xfId="0" applyNumberFormat="1" applyFont="1" applyFill="1" applyBorder="1"/>
    <xf numFmtId="0" fontId="0" fillId="7" borderId="0" xfId="0" quotePrefix="1" applyFill="1"/>
    <xf numFmtId="9" fontId="10" fillId="7" borderId="0" xfId="1" applyFont="1" applyFill="1"/>
    <xf numFmtId="4" fontId="4" fillId="7" borderId="1" xfId="0" applyNumberFormat="1" applyFont="1" applyFill="1" applyBorder="1"/>
    <xf numFmtId="4" fontId="0" fillId="7" borderId="10" xfId="0" applyNumberFormat="1" applyFill="1" applyBorder="1"/>
    <xf numFmtId="3" fontId="0" fillId="7" borderId="10" xfId="0" applyNumberFormat="1" applyFill="1" applyBorder="1"/>
    <xf numFmtId="0" fontId="0" fillId="7" borderId="10" xfId="0" applyFill="1" applyBorder="1"/>
    <xf numFmtId="0" fontId="0" fillId="7" borderId="1" xfId="0" applyFill="1" applyBorder="1"/>
    <xf numFmtId="10" fontId="0" fillId="7" borderId="10" xfId="0" applyNumberFormat="1" applyFill="1" applyBorder="1" applyAlignment="1">
      <alignment horizontal="right"/>
    </xf>
    <xf numFmtId="0" fontId="0" fillId="7" borderId="2" xfId="0" applyFill="1" applyBorder="1"/>
    <xf numFmtId="4" fontId="0" fillId="7" borderId="3" xfId="0" applyNumberFormat="1" applyFill="1" applyBorder="1"/>
    <xf numFmtId="4" fontId="0" fillId="7" borderId="0" xfId="0" applyNumberFormat="1" applyFill="1"/>
    <xf numFmtId="3" fontId="0" fillId="7" borderId="0" xfId="0" applyNumberFormat="1" applyFill="1"/>
    <xf numFmtId="0" fontId="0" fillId="7" borderId="3" xfId="0" applyFill="1" applyBorder="1"/>
    <xf numFmtId="0" fontId="0" fillId="7" borderId="0" xfId="0" applyFill="1" applyAlignment="1">
      <alignment horizontal="right"/>
    </xf>
    <xf numFmtId="0" fontId="0" fillId="7" borderId="4" xfId="0" applyFill="1" applyBorder="1"/>
    <xf numFmtId="164" fontId="5" fillId="7" borderId="0" xfId="1" applyNumberFormat="1" applyFont="1" applyFill="1" applyBorder="1"/>
    <xf numFmtId="10" fontId="0" fillId="7" borderId="0" xfId="1" applyNumberFormat="1" applyFont="1" applyFill="1" applyBorder="1" applyAlignment="1">
      <alignment horizontal="right"/>
    </xf>
    <xf numFmtId="10" fontId="0" fillId="7" borderId="0" xfId="0" applyNumberFormat="1" applyFill="1" applyAlignment="1">
      <alignment horizontal="right"/>
    </xf>
    <xf numFmtId="3" fontId="4" fillId="7" borderId="0" xfId="0" applyNumberFormat="1" applyFont="1" applyFill="1"/>
    <xf numFmtId="164" fontId="4" fillId="7" borderId="0" xfId="1" applyNumberFormat="1" applyFont="1" applyFill="1" applyBorder="1"/>
    <xf numFmtId="9" fontId="0" fillId="7" borderId="0" xfId="1" applyFont="1" applyFill="1" applyBorder="1"/>
    <xf numFmtId="0" fontId="4" fillId="7" borderId="3" xfId="0" applyFont="1" applyFill="1" applyBorder="1"/>
    <xf numFmtId="0" fontId="4" fillId="7" borderId="0" xfId="0" applyFont="1" applyFill="1"/>
    <xf numFmtId="10" fontId="4" fillId="7" borderId="0" xfId="0" applyNumberFormat="1" applyFont="1" applyFill="1"/>
    <xf numFmtId="9" fontId="0" fillId="7" borderId="0" xfId="0" applyNumberFormat="1" applyFill="1"/>
    <xf numFmtId="10" fontId="0" fillId="7" borderId="0" xfId="0" applyNumberFormat="1" applyFill="1"/>
    <xf numFmtId="9" fontId="4" fillId="7" borderId="0" xfId="0" applyNumberFormat="1" applyFont="1" applyFill="1"/>
    <xf numFmtId="0" fontId="0" fillId="7" borderId="5" xfId="0" applyFill="1" applyBorder="1"/>
    <xf numFmtId="0" fontId="0" fillId="7" borderId="11" xfId="0" applyFill="1" applyBorder="1"/>
    <xf numFmtId="10" fontId="4" fillId="7" borderId="11" xfId="0" applyNumberFormat="1" applyFont="1" applyFill="1" applyBorder="1"/>
    <xf numFmtId="0" fontId="0" fillId="7" borderId="6" xfId="0" applyFill="1" applyBorder="1"/>
    <xf numFmtId="0" fontId="0" fillId="8" borderId="0" xfId="0" applyFill="1" applyAlignment="1">
      <alignment wrapText="1"/>
    </xf>
    <xf numFmtId="0" fontId="0" fillId="8" borderId="0" xfId="0" applyFill="1"/>
    <xf numFmtId="167" fontId="4" fillId="8" borderId="0" xfId="0" applyNumberFormat="1" applyFont="1" applyFill="1"/>
    <xf numFmtId="0" fontId="4" fillId="8" borderId="0" xfId="0" applyFont="1" applyFill="1" applyAlignment="1">
      <alignment horizontal="right"/>
    </xf>
    <xf numFmtId="0" fontId="12" fillId="8" borderId="0" xfId="0" applyFont="1" applyFill="1"/>
    <xf numFmtId="0" fontId="9" fillId="8" borderId="0" xfId="0" applyFont="1" applyFill="1"/>
    <xf numFmtId="4" fontId="4" fillId="8" borderId="0" xfId="0" applyNumberFormat="1" applyFont="1" applyFill="1"/>
    <xf numFmtId="0" fontId="4" fillId="9" borderId="0" xfId="0" applyFont="1" applyFill="1" applyAlignment="1">
      <alignment vertical="center" wrapText="1"/>
    </xf>
    <xf numFmtId="0" fontId="0" fillId="9" borderId="0" xfId="0" applyFill="1"/>
    <xf numFmtId="4" fontId="0" fillId="9" borderId="0" xfId="0" applyNumberFormat="1" applyFill="1"/>
    <xf numFmtId="4" fontId="10" fillId="9" borderId="0" xfId="0" applyNumberFormat="1" applyFont="1" applyFill="1"/>
    <xf numFmtId="3" fontId="0" fillId="9" borderId="0" xfId="0" applyNumberFormat="1" applyFill="1"/>
    <xf numFmtId="9" fontId="0" fillId="10" borderId="0" xfId="1" applyFont="1" applyFill="1"/>
    <xf numFmtId="9" fontId="4" fillId="9" borderId="0" xfId="1" applyFont="1" applyFill="1"/>
    <xf numFmtId="0" fontId="4" fillId="9" borderId="0" xfId="0" applyFont="1" applyFill="1"/>
    <xf numFmtId="10" fontId="4" fillId="9" borderId="0" xfId="1" applyNumberFormat="1" applyFont="1" applyFill="1"/>
    <xf numFmtId="1" fontId="5" fillId="9" borderId="0" xfId="1" applyNumberFormat="1" applyFont="1" applyFill="1"/>
    <xf numFmtId="9" fontId="0" fillId="7" borderId="0" xfId="1" applyFont="1" applyFill="1"/>
    <xf numFmtId="10" fontId="0" fillId="9" borderId="0" xfId="0" applyNumberFormat="1" applyFill="1"/>
    <xf numFmtId="4" fontId="5" fillId="9" borderId="0" xfId="1" applyNumberFormat="1" applyFont="1" applyFill="1"/>
    <xf numFmtId="10" fontId="4" fillId="7" borderId="0" xfId="1" applyNumberFormat="1" applyFont="1" applyFill="1"/>
    <xf numFmtId="1" fontId="5" fillId="7" borderId="0" xfId="1" applyNumberFormat="1" applyFont="1" applyFill="1"/>
    <xf numFmtId="0" fontId="0" fillId="7" borderId="10" xfId="0" applyFill="1" applyBorder="1" applyAlignment="1">
      <alignment horizontal="center"/>
    </xf>
    <xf numFmtId="0" fontId="0" fillId="7" borderId="0" xfId="0" applyFill="1" applyAlignment="1">
      <alignment horizontal="center"/>
    </xf>
    <xf numFmtId="4" fontId="0" fillId="7" borderId="4" xfId="0" applyNumberFormat="1" applyFill="1" applyBorder="1"/>
    <xf numFmtId="9" fontId="0" fillId="7" borderId="0" xfId="0" applyNumberFormat="1" applyFill="1" applyAlignment="1">
      <alignment horizontal="center"/>
    </xf>
    <xf numFmtId="3" fontId="13" fillId="7" borderId="4" xfId="0" quotePrefix="1" applyNumberFormat="1" applyFont="1" applyFill="1" applyBorder="1"/>
    <xf numFmtId="10" fontId="0" fillId="7" borderId="3" xfId="0" applyNumberFormat="1" applyFill="1" applyBorder="1"/>
    <xf numFmtId="4" fontId="14" fillId="7" borderId="4" xfId="0" quotePrefix="1" applyNumberFormat="1" applyFont="1" applyFill="1" applyBorder="1"/>
    <xf numFmtId="9" fontId="0" fillId="7" borderId="4" xfId="1" applyFont="1" applyFill="1" applyBorder="1"/>
    <xf numFmtId="0" fontId="0" fillId="11" borderId="5" xfId="0" applyFill="1" applyBorder="1"/>
    <xf numFmtId="0" fontId="0" fillId="11" borderId="11" xfId="0" applyFill="1" applyBorder="1"/>
    <xf numFmtId="164" fontId="0" fillId="11" borderId="6" xfId="1" applyNumberFormat="1" applyFont="1" applyFill="1" applyBorder="1"/>
    <xf numFmtId="2" fontId="0" fillId="0" borderId="4" xfId="0" applyNumberFormat="1" applyBorder="1" applyAlignment="1">
      <alignment horizontal="center"/>
    </xf>
    <xf numFmtId="166" fontId="0" fillId="9" borderId="0" xfId="0" applyNumberFormat="1" applyFill="1"/>
  </cellXfs>
  <cellStyles count="2">
    <cellStyle name="Prozent" xfId="1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14</xdr:row>
      <xdr:rowOff>19845</xdr:rowOff>
    </xdr:from>
    <xdr:to>
      <xdr:col>2</xdr:col>
      <xdr:colOff>952500</xdr:colOff>
      <xdr:row>17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6C7FDFDE-0319-4B0F-A296-2D048FEF5694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15</xdr:row>
      <xdr:rowOff>23812</xdr:rowOff>
    </xdr:from>
    <xdr:to>
      <xdr:col>4</xdr:col>
      <xdr:colOff>797718</xdr:colOff>
      <xdr:row>17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D3E7179F-C0CB-4F72-97C4-ABDBC2EBC9AC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21</xdr:row>
      <xdr:rowOff>84666</xdr:rowOff>
    </xdr:from>
    <xdr:to>
      <xdr:col>14</xdr:col>
      <xdr:colOff>461065</xdr:colOff>
      <xdr:row>28</xdr:row>
      <xdr:rowOff>133766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4AAFF47-ABE2-41D7-90E4-D9ECA8518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1191" y="4875741"/>
          <a:ext cx="3551399" cy="13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70"/>
  <sheetViews>
    <sheetView tabSelected="1" topLeftCell="B1" workbookViewId="0">
      <selection activeCell="C26" sqref="C26"/>
    </sheetView>
  </sheetViews>
  <sheetFormatPr baseColWidth="10" defaultColWidth="9.140625" defaultRowHeight="16.5" customHeight="1" x14ac:dyDescent="0.25"/>
  <cols>
    <col min="1" max="1" width="9.140625" style="1"/>
    <col min="2" max="2" width="28.7109375" style="1" bestFit="1" customWidth="1"/>
    <col min="3" max="3" width="10.42578125" style="1" bestFit="1" customWidth="1"/>
    <col min="4" max="4" width="33.7109375" style="1" bestFit="1" customWidth="1"/>
    <col min="5" max="5" width="14.5703125" style="1" bestFit="1" customWidth="1"/>
    <col min="6" max="6" width="10.28515625" style="1" bestFit="1" customWidth="1"/>
    <col min="7" max="7" width="9.140625" style="1"/>
    <col min="8" max="8" width="14.85546875" style="1" bestFit="1" customWidth="1"/>
    <col min="9" max="9" width="9.140625" style="1"/>
    <col min="10" max="10" width="8" style="1" bestFit="1" customWidth="1"/>
    <col min="11" max="11" width="9.140625" style="1"/>
    <col min="12" max="12" width="13.140625" style="1" bestFit="1" customWidth="1"/>
    <col min="13" max="13" width="9.140625" style="1"/>
    <col min="14" max="14" width="14.85546875" style="1" bestFit="1" customWidth="1"/>
    <col min="15" max="15" width="9.140625" style="1"/>
    <col min="16" max="16" width="9.28515625" style="1" bestFit="1" customWidth="1"/>
    <col min="17" max="17" width="9.140625" style="1"/>
    <col min="18" max="18" width="18.42578125" style="1" bestFit="1" customWidth="1"/>
    <col min="19" max="16384" width="9.140625" style="1"/>
  </cols>
  <sheetData>
    <row r="1" spans="2:22" ht="15" x14ac:dyDescent="0.25"/>
    <row r="2" spans="2:22" ht="26.25" x14ac:dyDescent="0.4">
      <c r="B2" s="4" t="s">
        <v>77</v>
      </c>
    </row>
    <row r="3" spans="2:22" ht="21" customHeight="1" x14ac:dyDescent="0.25">
      <c r="B3" s="3" t="s">
        <v>4</v>
      </c>
    </row>
    <row r="4" spans="2:22" s="2" customFormat="1" ht="15.75" x14ac:dyDescent="0.25">
      <c r="C4" s="3" t="s">
        <v>8</v>
      </c>
      <c r="F4" s="6">
        <v>2020</v>
      </c>
      <c r="G4" s="6"/>
      <c r="H4" s="6"/>
      <c r="I4" s="6"/>
      <c r="J4" s="6"/>
      <c r="L4" s="7">
        <v>2021</v>
      </c>
      <c r="M4" s="7"/>
      <c r="N4" s="7"/>
      <c r="O4" s="7"/>
      <c r="P4" s="7"/>
      <c r="R4" s="13">
        <v>2021</v>
      </c>
      <c r="S4" s="11"/>
      <c r="T4" s="11"/>
      <c r="U4" s="11"/>
      <c r="V4" s="11"/>
    </row>
    <row r="5" spans="2:22" ht="16.5" customHeight="1" x14ac:dyDescent="0.25">
      <c r="F5" s="8" t="s">
        <v>9</v>
      </c>
      <c r="G5" s="8"/>
      <c r="H5" s="8"/>
      <c r="I5" s="8"/>
      <c r="J5" s="8"/>
      <c r="K5" s="5"/>
      <c r="L5" s="9" t="s">
        <v>5</v>
      </c>
      <c r="M5" s="7"/>
      <c r="N5" s="7"/>
      <c r="O5" s="7"/>
      <c r="P5" s="7"/>
      <c r="R5" s="11" t="s">
        <v>10</v>
      </c>
      <c r="S5" s="11"/>
      <c r="T5" s="11"/>
      <c r="U5" s="11"/>
      <c r="V5" s="11"/>
    </row>
    <row r="6" spans="2:22" s="2" customFormat="1" ht="16.5" customHeight="1" x14ac:dyDescent="0.25">
      <c r="D6" s="2" t="s">
        <v>0</v>
      </c>
      <c r="F6" s="16" t="s">
        <v>7</v>
      </c>
      <c r="G6" s="16"/>
      <c r="H6" s="16" t="s">
        <v>2</v>
      </c>
      <c r="I6" s="16"/>
      <c r="J6" s="16" t="s">
        <v>3</v>
      </c>
      <c r="L6" s="17" t="s">
        <v>7</v>
      </c>
      <c r="M6" s="17"/>
      <c r="N6" s="17" t="s">
        <v>6</v>
      </c>
      <c r="O6" s="17"/>
      <c r="P6" s="17" t="s">
        <v>3</v>
      </c>
      <c r="R6" s="12" t="s">
        <v>7</v>
      </c>
      <c r="S6" s="12"/>
      <c r="T6" s="12" t="s">
        <v>6</v>
      </c>
      <c r="U6" s="12"/>
      <c r="V6" s="12" t="s">
        <v>3</v>
      </c>
    </row>
    <row r="7" spans="2:22" ht="16.5" customHeight="1" x14ac:dyDescent="0.25">
      <c r="F7" s="6"/>
      <c r="G7" s="6"/>
      <c r="H7" s="6"/>
      <c r="I7" s="6"/>
      <c r="J7" s="6"/>
      <c r="L7" s="7"/>
      <c r="M7" s="7"/>
      <c r="N7" s="7"/>
      <c r="O7" s="7"/>
      <c r="P7" s="7"/>
      <c r="R7" s="11" t="s">
        <v>20</v>
      </c>
      <c r="S7" s="11"/>
      <c r="T7" s="11"/>
      <c r="U7" s="11"/>
      <c r="V7" s="11"/>
    </row>
    <row r="8" spans="2:22" s="14" customFormat="1" ht="16.5" customHeight="1" x14ac:dyDescent="0.25">
      <c r="D8" s="3" t="s">
        <v>1</v>
      </c>
      <c r="F8" s="8">
        <v>432.2</v>
      </c>
      <c r="G8" s="8"/>
      <c r="H8" s="19">
        <v>0.158</v>
      </c>
      <c r="I8" s="8"/>
      <c r="J8" s="8">
        <f>F8*H8</f>
        <v>68.287599999999998</v>
      </c>
      <c r="L8" s="9">
        <v>624.70000000000005</v>
      </c>
      <c r="M8" s="9"/>
      <c r="N8" s="18">
        <v>0.36499999999999999</v>
      </c>
      <c r="O8" s="9"/>
      <c r="P8" s="9">
        <f>L8*N8</f>
        <v>228.0155</v>
      </c>
      <c r="R8" s="23">
        <f>L8/9*12*1.13</f>
        <v>941.21466666666663</v>
      </c>
      <c r="S8" s="15"/>
      <c r="T8" s="20">
        <v>0.36499999999999999</v>
      </c>
      <c r="U8" s="15"/>
      <c r="V8" s="15">
        <f>R8*T8</f>
        <v>343.5433533333333</v>
      </c>
    </row>
    <row r="9" spans="2:22" ht="16.5" customHeight="1" x14ac:dyDescent="0.25">
      <c r="R9" s="21"/>
      <c r="S9" s="21"/>
      <c r="T9" s="21"/>
      <c r="U9" s="21"/>
      <c r="V9" s="21"/>
    </row>
    <row r="10" spans="2:22" ht="16.5" customHeight="1" x14ac:dyDescent="0.25">
      <c r="D10" s="1" t="s">
        <v>11</v>
      </c>
    </row>
    <row r="12" spans="2:22" ht="16.5" customHeight="1" x14ac:dyDescent="0.25">
      <c r="D12" s="1" t="s">
        <v>12</v>
      </c>
      <c r="R12" s="1">
        <v>12</v>
      </c>
    </row>
    <row r="13" spans="2:22" ht="16.5" customHeight="1" x14ac:dyDescent="0.25">
      <c r="D13" s="1" t="s">
        <v>13</v>
      </c>
      <c r="R13" s="1">
        <v>4</v>
      </c>
    </row>
    <row r="14" spans="2:22" ht="16.5" customHeight="1" x14ac:dyDescent="0.25">
      <c r="D14" s="1" t="s">
        <v>14</v>
      </c>
      <c r="V14" s="1">
        <v>25</v>
      </c>
    </row>
    <row r="15" spans="2:22" ht="16.5" customHeight="1" x14ac:dyDescent="0.25">
      <c r="D15" s="1" t="s">
        <v>15</v>
      </c>
      <c r="V15" s="1">
        <v>10</v>
      </c>
    </row>
    <row r="17" spans="4:22" ht="16.5" customHeight="1" x14ac:dyDescent="0.25">
      <c r="D17" s="1" t="s">
        <v>16</v>
      </c>
      <c r="R17" s="22">
        <f>(R12*R8)+(R13*R8)/2</f>
        <v>13177.005333333333</v>
      </c>
      <c r="V17" s="22">
        <f>(V8*V14)+(V15*V8)/2</f>
        <v>10306.300599999999</v>
      </c>
    </row>
    <row r="18" spans="4:22" ht="15" x14ac:dyDescent="0.25"/>
    <row r="19" spans="4:22" ht="30" x14ac:dyDescent="0.25">
      <c r="D19" s="24" t="s">
        <v>17</v>
      </c>
      <c r="E19" s="25">
        <f>(R17+V17)/2*0.8</f>
        <v>9393.3223733333325</v>
      </c>
    </row>
    <row r="20" spans="4:22" ht="15" x14ac:dyDescent="0.25">
      <c r="D20" s="24"/>
      <c r="F20" s="25"/>
    </row>
    <row r="21" spans="4:22" ht="16.5" customHeight="1" x14ac:dyDescent="0.25">
      <c r="F21" s="6">
        <v>2020</v>
      </c>
      <c r="G21" s="6"/>
      <c r="H21" s="6"/>
      <c r="I21" s="6"/>
      <c r="J21" s="6"/>
      <c r="L21" s="7">
        <v>2021</v>
      </c>
      <c r="M21" s="7"/>
      <c r="N21" s="7"/>
      <c r="O21" s="7"/>
      <c r="P21" s="7"/>
      <c r="R21" s="13">
        <v>2021</v>
      </c>
      <c r="S21" s="11"/>
      <c r="T21" s="11"/>
      <c r="U21" s="11"/>
      <c r="V21" s="11"/>
    </row>
    <row r="22" spans="4:22" ht="16.5" customHeight="1" x14ac:dyDescent="0.25">
      <c r="F22" s="8" t="s">
        <v>9</v>
      </c>
      <c r="G22" s="8"/>
      <c r="H22" s="8"/>
      <c r="I22" s="8"/>
      <c r="J22" s="8"/>
      <c r="L22" s="9" t="s">
        <v>5</v>
      </c>
      <c r="M22" s="7"/>
      <c r="N22" s="7"/>
      <c r="O22" s="7"/>
      <c r="P22" s="7"/>
      <c r="R22" s="11" t="s">
        <v>10</v>
      </c>
      <c r="S22" s="11"/>
      <c r="T22" s="11"/>
      <c r="U22" s="11"/>
      <c r="V22" s="11"/>
    </row>
    <row r="23" spans="4:22" ht="16.5" customHeight="1" x14ac:dyDescent="0.25">
      <c r="F23" s="16" t="s">
        <v>7</v>
      </c>
      <c r="G23" s="16"/>
      <c r="H23" s="16" t="s">
        <v>2</v>
      </c>
      <c r="I23" s="16"/>
      <c r="J23" s="16" t="s">
        <v>3</v>
      </c>
      <c r="L23" s="9"/>
      <c r="M23" s="7"/>
      <c r="N23" s="7"/>
      <c r="O23" s="7"/>
      <c r="P23" s="7"/>
      <c r="R23" s="11" t="s">
        <v>21</v>
      </c>
      <c r="S23" s="11"/>
      <c r="T23" s="11"/>
      <c r="U23" s="11"/>
      <c r="V23" s="11"/>
    </row>
    <row r="24" spans="4:22" ht="16.5" customHeight="1" x14ac:dyDescent="0.25">
      <c r="F24" s="6"/>
      <c r="G24" s="6"/>
      <c r="H24" s="6"/>
      <c r="I24" s="6"/>
      <c r="J24" s="6"/>
      <c r="L24" s="17" t="s">
        <v>7</v>
      </c>
      <c r="M24" s="17"/>
      <c r="N24" s="17" t="s">
        <v>6</v>
      </c>
      <c r="O24" s="17"/>
      <c r="P24" s="17" t="s">
        <v>3</v>
      </c>
      <c r="R24" s="12" t="s">
        <v>7</v>
      </c>
      <c r="S24" s="12"/>
      <c r="T24" s="12" t="s">
        <v>6</v>
      </c>
      <c r="U24" s="12"/>
      <c r="V24" s="12" t="s">
        <v>3</v>
      </c>
    </row>
    <row r="25" spans="4:22" ht="16.5" customHeight="1" x14ac:dyDescent="0.25">
      <c r="D25" s="3" t="s">
        <v>18</v>
      </c>
      <c r="F25" s="8">
        <v>749.64</v>
      </c>
      <c r="G25" s="8"/>
      <c r="H25" s="19">
        <v>0.159</v>
      </c>
      <c r="I25" s="8"/>
      <c r="J25" s="8">
        <f>F25*H25</f>
        <v>119.19275999999999</v>
      </c>
      <c r="L25" s="9">
        <v>478.2</v>
      </c>
      <c r="M25" s="9"/>
      <c r="N25" s="10">
        <v>0.21</v>
      </c>
      <c r="O25" s="9"/>
      <c r="P25" s="9">
        <f>L25*N25</f>
        <v>100.422</v>
      </c>
      <c r="R25" s="23">
        <f>L25/9*12*0.95</f>
        <v>605.72</v>
      </c>
      <c r="S25" s="23"/>
      <c r="T25" s="26">
        <v>0.21</v>
      </c>
      <c r="U25" s="23"/>
      <c r="V25" s="23">
        <f>R25*T25</f>
        <v>127.2012</v>
      </c>
    </row>
    <row r="28" spans="4:22" ht="16.5" customHeight="1" x14ac:dyDescent="0.25">
      <c r="D28" s="1" t="s">
        <v>12</v>
      </c>
      <c r="R28" s="1">
        <v>3</v>
      </c>
    </row>
    <row r="29" spans="4:22" ht="16.5" customHeight="1" x14ac:dyDescent="0.25">
      <c r="D29" s="1" t="s">
        <v>13</v>
      </c>
      <c r="R29" s="1">
        <v>1</v>
      </c>
    </row>
    <row r="30" spans="4:22" ht="16.5" customHeight="1" x14ac:dyDescent="0.25">
      <c r="D30" s="1" t="s">
        <v>14</v>
      </c>
      <c r="V30" s="1">
        <v>9</v>
      </c>
    </row>
    <row r="31" spans="4:22" ht="16.5" customHeight="1" x14ac:dyDescent="0.25">
      <c r="D31" s="1" t="s">
        <v>15</v>
      </c>
      <c r="V31" s="1">
        <v>3</v>
      </c>
    </row>
    <row r="33" spans="4:22" ht="16.5" customHeight="1" x14ac:dyDescent="0.25">
      <c r="D33" s="1" t="s">
        <v>16</v>
      </c>
      <c r="R33" s="22">
        <f>(R29*R25)+(R28*R25)/2</f>
        <v>1514.3000000000002</v>
      </c>
      <c r="S33" s="22"/>
      <c r="T33" s="22"/>
      <c r="U33" s="22"/>
      <c r="V33" s="22">
        <f>(V30*V25)+(V31*V25)/2</f>
        <v>1335.6125999999999</v>
      </c>
    </row>
    <row r="35" spans="4:22" ht="30" x14ac:dyDescent="0.25">
      <c r="D35" s="24" t="s">
        <v>17</v>
      </c>
      <c r="E35" s="25">
        <f>(R33+V33)/2*0.8</f>
        <v>1139.96504</v>
      </c>
    </row>
    <row r="38" spans="4:22" ht="16.5" customHeight="1" x14ac:dyDescent="0.25">
      <c r="F38" s="6">
        <v>2020</v>
      </c>
      <c r="G38" s="6"/>
      <c r="H38" s="6"/>
      <c r="I38" s="6"/>
      <c r="J38" s="6"/>
      <c r="L38" s="7">
        <v>2021</v>
      </c>
      <c r="M38" s="7"/>
      <c r="N38" s="7"/>
      <c r="O38" s="7"/>
      <c r="P38" s="7"/>
      <c r="R38" s="13">
        <v>2021</v>
      </c>
      <c r="S38" s="11"/>
      <c r="T38" s="11"/>
      <c r="U38" s="11"/>
      <c r="V38" s="11"/>
    </row>
    <row r="39" spans="4:22" ht="16.5" customHeight="1" x14ac:dyDescent="0.25">
      <c r="F39" s="8" t="s">
        <v>9</v>
      </c>
      <c r="G39" s="8"/>
      <c r="H39" s="8"/>
      <c r="I39" s="8"/>
      <c r="J39" s="8"/>
      <c r="L39" s="9" t="s">
        <v>5</v>
      </c>
      <c r="M39" s="7"/>
      <c r="N39" s="7"/>
      <c r="O39" s="7"/>
      <c r="P39" s="7"/>
      <c r="R39" s="11" t="s">
        <v>10</v>
      </c>
      <c r="S39" s="11"/>
      <c r="T39" s="11"/>
      <c r="U39" s="11"/>
      <c r="V39" s="11"/>
    </row>
    <row r="40" spans="4:22" ht="16.5" customHeight="1" x14ac:dyDescent="0.25">
      <c r="F40" s="16" t="s">
        <v>7</v>
      </c>
      <c r="G40" s="16"/>
      <c r="H40" s="16" t="s">
        <v>2</v>
      </c>
      <c r="I40" s="16"/>
      <c r="J40" s="16" t="s">
        <v>3</v>
      </c>
      <c r="L40" s="9"/>
      <c r="M40" s="7"/>
      <c r="N40" s="7"/>
      <c r="O40" s="7"/>
      <c r="P40" s="7"/>
      <c r="R40" s="11" t="s">
        <v>19</v>
      </c>
      <c r="S40" s="11"/>
      <c r="T40" s="11"/>
      <c r="U40" s="11"/>
      <c r="V40" s="11"/>
    </row>
    <row r="41" spans="4:22" ht="16.5" customHeight="1" x14ac:dyDescent="0.25">
      <c r="D41" s="2" t="s">
        <v>22</v>
      </c>
      <c r="F41" s="6"/>
      <c r="G41" s="6"/>
      <c r="H41" s="6"/>
      <c r="I41" s="6"/>
      <c r="J41" s="6"/>
      <c r="L41" s="17" t="s">
        <v>7</v>
      </c>
      <c r="M41" s="17"/>
      <c r="N41" s="17" t="s">
        <v>6</v>
      </c>
      <c r="O41" s="17"/>
      <c r="P41" s="17" t="s">
        <v>3</v>
      </c>
      <c r="R41" s="12" t="s">
        <v>7</v>
      </c>
      <c r="S41" s="12"/>
      <c r="T41" s="12" t="s">
        <v>6</v>
      </c>
      <c r="U41" s="12"/>
      <c r="V41" s="12" t="s">
        <v>3</v>
      </c>
    </row>
    <row r="42" spans="4:22" ht="16.5" customHeight="1" x14ac:dyDescent="0.25">
      <c r="F42" s="8">
        <v>1198.8</v>
      </c>
      <c r="G42" s="8"/>
      <c r="H42" s="19">
        <v>6.4000000000000001E-2</v>
      </c>
      <c r="I42" s="8"/>
      <c r="J42" s="8">
        <f>F42*H42</f>
        <v>76.723200000000006</v>
      </c>
      <c r="L42" s="9">
        <v>1028.5</v>
      </c>
      <c r="M42" s="9"/>
      <c r="N42" s="10">
        <v>7.6999999999999999E-2</v>
      </c>
      <c r="O42" s="9"/>
      <c r="P42" s="9">
        <f>L42*N42</f>
        <v>79.194500000000005</v>
      </c>
      <c r="R42" s="23">
        <f>L42/9*12</f>
        <v>1371.3333333333333</v>
      </c>
      <c r="S42" s="23"/>
      <c r="T42" s="26">
        <v>7.6999999999999999E-2</v>
      </c>
      <c r="U42" s="23"/>
      <c r="V42" s="23">
        <f>R42*T42</f>
        <v>105.59266666666666</v>
      </c>
    </row>
    <row r="43" spans="4:22" ht="16.5" customHeight="1" x14ac:dyDescent="0.25">
      <c r="F43" s="27"/>
      <c r="G43" s="27"/>
      <c r="H43" s="28"/>
      <c r="I43" s="27"/>
      <c r="J43" s="27"/>
      <c r="K43" s="21"/>
      <c r="L43" s="27"/>
      <c r="M43" s="27"/>
      <c r="N43" s="29"/>
      <c r="O43" s="27"/>
      <c r="P43" s="27"/>
      <c r="Q43" s="21"/>
      <c r="R43" s="30"/>
      <c r="S43" s="30"/>
      <c r="T43" s="29"/>
      <c r="U43" s="30"/>
      <c r="V43" s="30"/>
    </row>
    <row r="45" spans="4:22" ht="16.5" customHeight="1" x14ac:dyDescent="0.25">
      <c r="D45" s="1" t="s">
        <v>12</v>
      </c>
      <c r="R45" s="1">
        <v>3</v>
      </c>
    </row>
    <row r="46" spans="4:22" ht="16.5" customHeight="1" x14ac:dyDescent="0.25">
      <c r="D46" s="1" t="s">
        <v>13</v>
      </c>
      <c r="R46" s="1">
        <v>0.7</v>
      </c>
    </row>
    <row r="47" spans="4:22" ht="16.5" customHeight="1" x14ac:dyDescent="0.25">
      <c r="D47" s="1" t="s">
        <v>14</v>
      </c>
      <c r="V47" s="1">
        <v>8</v>
      </c>
    </row>
    <row r="48" spans="4:22" ht="16.5" customHeight="1" x14ac:dyDescent="0.25">
      <c r="D48" s="1" t="s">
        <v>15</v>
      </c>
      <c r="V48" s="1">
        <v>3.5</v>
      </c>
    </row>
    <row r="50" spans="4:22" ht="16.5" customHeight="1" x14ac:dyDescent="0.25">
      <c r="D50" s="1" t="s">
        <v>16</v>
      </c>
      <c r="R50" s="22">
        <f>(R46*R42)+(R45*R42)/2</f>
        <v>3016.9333333333334</v>
      </c>
      <c r="V50" s="22">
        <f>(V47*V42)+(V48*V42)/2</f>
        <v>1029.5284999999999</v>
      </c>
    </row>
    <row r="51" spans="4:22" ht="15" x14ac:dyDescent="0.25"/>
    <row r="52" spans="4:22" ht="30" x14ac:dyDescent="0.25">
      <c r="D52" s="24" t="s">
        <v>17</v>
      </c>
      <c r="E52" s="25">
        <f>(R50+V50)/2*0.8</f>
        <v>1618.5847333333334</v>
      </c>
    </row>
    <row r="55" spans="4:22" ht="16.5" customHeight="1" thickBot="1" x14ac:dyDescent="0.3"/>
    <row r="56" spans="4:22" ht="16.5" customHeight="1" x14ac:dyDescent="0.25">
      <c r="D56" s="31" t="s">
        <v>23</v>
      </c>
      <c r="E56" s="32">
        <f>SUM(E19:E52)</f>
        <v>12151.872146666665</v>
      </c>
    </row>
    <row r="57" spans="4:22" ht="16.5" customHeight="1" x14ac:dyDescent="0.25">
      <c r="D57" s="33"/>
      <c r="E57" s="34"/>
    </row>
    <row r="58" spans="4:22" ht="16.5" customHeight="1" x14ac:dyDescent="0.25">
      <c r="D58" s="33" t="s">
        <v>24</v>
      </c>
      <c r="E58" s="34">
        <v>-1046.7</v>
      </c>
    </row>
    <row r="59" spans="4:22" ht="16.5" customHeight="1" x14ac:dyDescent="0.25">
      <c r="D59" s="33"/>
      <c r="E59" s="34"/>
    </row>
    <row r="60" spans="4:22" ht="16.5" customHeight="1" x14ac:dyDescent="0.25">
      <c r="D60" s="33" t="s">
        <v>25</v>
      </c>
      <c r="E60" s="34">
        <f>501.043+342.259</f>
        <v>843.30200000000002</v>
      </c>
    </row>
    <row r="61" spans="4:22" ht="16.5" customHeight="1" x14ac:dyDescent="0.25">
      <c r="D61" s="33"/>
      <c r="E61" s="34"/>
    </row>
    <row r="62" spans="4:22" ht="16.5" customHeight="1" thickBot="1" x14ac:dyDescent="0.3">
      <c r="D62" s="35" t="s">
        <v>26</v>
      </c>
      <c r="E62" s="36">
        <f>SUM(E56:E60)</f>
        <v>11948.474146666664</v>
      </c>
    </row>
    <row r="64" spans="4:22" ht="16.5" customHeight="1" x14ac:dyDescent="0.25">
      <c r="D64" s="41" t="s">
        <v>27</v>
      </c>
      <c r="E64" s="42">
        <f>E62/E67</f>
        <v>7312.1302292487462</v>
      </c>
    </row>
    <row r="66" spans="4:5" ht="16.5" customHeight="1" thickBot="1" x14ac:dyDescent="0.3"/>
    <row r="67" spans="4:5" ht="16.5" customHeight="1" x14ac:dyDescent="0.25">
      <c r="D67" s="37" t="s">
        <v>30</v>
      </c>
      <c r="E67" s="38">
        <v>1.6340619999999999</v>
      </c>
    </row>
    <row r="68" spans="4:5" ht="16.5" customHeight="1" x14ac:dyDescent="0.25">
      <c r="D68" s="33" t="s">
        <v>28</v>
      </c>
      <c r="E68" s="39">
        <v>5313</v>
      </c>
    </row>
    <row r="69" spans="4:5" ht="16.5" customHeight="1" x14ac:dyDescent="0.25">
      <c r="D69" s="33" t="s">
        <v>29</v>
      </c>
      <c r="E69" s="133">
        <f>E68*E67</f>
        <v>8681.7714059999998</v>
      </c>
    </row>
    <row r="70" spans="4:5" ht="16.5" customHeight="1" thickBot="1" x14ac:dyDescent="0.3">
      <c r="D70" s="35"/>
      <c r="E70" s="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A054-D841-499E-9455-E368B17A1207}">
  <dimension ref="A2:AB73"/>
  <sheetViews>
    <sheetView workbookViewId="0">
      <selection activeCell="C59" sqref="C59"/>
    </sheetView>
  </sheetViews>
  <sheetFormatPr baseColWidth="10" defaultColWidth="12.140625" defaultRowHeight="15" x14ac:dyDescent="0.25"/>
  <cols>
    <col min="1" max="1" width="31" bestFit="1" customWidth="1"/>
    <col min="2" max="2" width="37" customWidth="1"/>
    <col min="3" max="3" width="18.28515625" bestFit="1" customWidth="1"/>
    <col min="4" max="4" width="18.42578125" customWidth="1"/>
    <col min="5" max="5" width="16.140625" customWidth="1"/>
    <col min="6" max="6" width="15.5703125" customWidth="1"/>
    <col min="7" max="7" width="17" customWidth="1"/>
    <col min="8" max="8" width="13.85546875" customWidth="1"/>
    <col min="16" max="16" width="13.7109375" bestFit="1" customWidth="1"/>
  </cols>
  <sheetData>
    <row r="2" spans="1:28" x14ac:dyDescent="0.25">
      <c r="B2" t="s">
        <v>72</v>
      </c>
    </row>
    <row r="4" spans="1:28" x14ac:dyDescent="0.25">
      <c r="B4" t="s">
        <v>71</v>
      </c>
    </row>
    <row r="8" spans="1:28" s="43" customFormat="1" ht="15.75" x14ac:dyDescent="0.25">
      <c r="H8" s="44" t="s">
        <v>31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s="50" customFormat="1" ht="15.75" x14ac:dyDescent="0.25">
      <c r="A9" s="46"/>
      <c r="B9" s="46"/>
      <c r="C9" s="47">
        <v>2016</v>
      </c>
      <c r="D9" s="47">
        <v>2017</v>
      </c>
      <c r="E9" s="47">
        <v>2018</v>
      </c>
      <c r="F9" s="47">
        <v>2019</v>
      </c>
      <c r="G9" s="47">
        <v>2020</v>
      </c>
      <c r="H9" s="48">
        <v>2021</v>
      </c>
      <c r="I9" s="48">
        <v>2022</v>
      </c>
      <c r="J9" s="48">
        <v>2023</v>
      </c>
      <c r="K9" s="48">
        <v>2024</v>
      </c>
      <c r="L9" s="48">
        <v>2025</v>
      </c>
      <c r="M9" s="48">
        <v>2026</v>
      </c>
      <c r="N9" s="48">
        <v>2027</v>
      </c>
      <c r="O9" s="48">
        <v>2028</v>
      </c>
      <c r="P9" s="48">
        <v>2029</v>
      </c>
      <c r="Q9" s="48">
        <v>2030</v>
      </c>
      <c r="R9" s="49" t="s">
        <v>76</v>
      </c>
    </row>
    <row r="10" spans="1:28" s="50" customFormat="1" ht="15.75" x14ac:dyDescent="0.25">
      <c r="A10" s="51"/>
      <c r="B10" s="46" t="s">
        <v>7</v>
      </c>
      <c r="C10" s="52">
        <v>1941.922</v>
      </c>
      <c r="D10" s="52">
        <v>2173.3850000000002</v>
      </c>
      <c r="E10" s="52">
        <v>2310.7559999999999</v>
      </c>
      <c r="F10" s="52">
        <v>2399.4650000000001</v>
      </c>
      <c r="G10" s="52">
        <v>2269.346</v>
      </c>
      <c r="H10" s="53">
        <v>2834.35941</v>
      </c>
      <c r="I10" s="53">
        <v>3047.9711900000002</v>
      </c>
      <c r="J10" s="53">
        <v>3274.6019299999998</v>
      </c>
      <c r="K10" s="53">
        <f>J10*(1+K11)</f>
        <v>3503.8240651000001</v>
      </c>
      <c r="L10" s="53">
        <f>K10*(1+L11)</f>
        <v>3749.0917496570005</v>
      </c>
      <c r="M10" s="53">
        <f t="shared" ref="M10:R10" si="0">L10*(1+M11)</f>
        <v>4011.5281721329907</v>
      </c>
      <c r="N10" s="53">
        <f t="shared" si="0"/>
        <v>4292.3351441823006</v>
      </c>
      <c r="O10" s="53">
        <f t="shared" si="0"/>
        <v>4592.7986042750617</v>
      </c>
      <c r="P10" s="53">
        <f t="shared" si="0"/>
        <v>4914.2945065743161</v>
      </c>
      <c r="Q10" s="53">
        <f t="shared" si="0"/>
        <v>5258.2951220345185</v>
      </c>
      <c r="R10" s="53">
        <f t="shared" si="0"/>
        <v>5363.4610244752093</v>
      </c>
    </row>
    <row r="11" spans="1:28" s="50" customFormat="1" ht="15.75" x14ac:dyDescent="0.25">
      <c r="A11" s="51"/>
      <c r="B11" s="46" t="s">
        <v>32</v>
      </c>
      <c r="C11" s="54"/>
      <c r="D11" s="54">
        <f t="shared" ref="D11:J11" si="1">D10/C10-1</f>
        <v>0.1191927379163531</v>
      </c>
      <c r="E11" s="54">
        <f t="shared" si="1"/>
        <v>6.3206012740494533E-2</v>
      </c>
      <c r="F11" s="54">
        <f t="shared" si="1"/>
        <v>3.8389600632866561E-2</v>
      </c>
      <c r="G11" s="54">
        <f t="shared" si="1"/>
        <v>-5.4228338400435172E-2</v>
      </c>
      <c r="H11" s="55">
        <f>H10/G10-1</f>
        <v>0.24897631740598403</v>
      </c>
      <c r="I11" s="55">
        <f t="shared" si="1"/>
        <v>7.5365099869250551E-2</v>
      </c>
      <c r="J11" s="55">
        <f t="shared" si="1"/>
        <v>7.4354620130119953E-2</v>
      </c>
      <c r="K11" s="55">
        <v>7.0000000000000007E-2</v>
      </c>
      <c r="L11" s="55">
        <v>7.0000000000000007E-2</v>
      </c>
      <c r="M11" s="55">
        <v>7.0000000000000007E-2</v>
      </c>
      <c r="N11" s="55">
        <v>7.0000000000000007E-2</v>
      </c>
      <c r="O11" s="55">
        <v>7.0000000000000007E-2</v>
      </c>
      <c r="P11" s="55">
        <v>7.0000000000000007E-2</v>
      </c>
      <c r="Q11" s="55">
        <v>7.0000000000000007E-2</v>
      </c>
      <c r="R11" s="56">
        <v>0.02</v>
      </c>
    </row>
    <row r="12" spans="1:28" s="50" customFormat="1" ht="15.95" customHeight="1" x14ac:dyDescent="0.25">
      <c r="A12" s="51"/>
      <c r="B12" s="46" t="s">
        <v>33</v>
      </c>
      <c r="C12" s="54">
        <f t="shared" ref="C12:F12" si="2">C13/C10</f>
        <v>9.9659512585984406E-2</v>
      </c>
      <c r="D12" s="54">
        <f t="shared" si="2"/>
        <v>8.8246675117386014E-2</v>
      </c>
      <c r="E12" s="54">
        <f t="shared" si="2"/>
        <v>9.6544161304785103E-2</v>
      </c>
      <c r="F12" s="54">
        <f t="shared" si="2"/>
        <v>8.5857055635318702E-2</v>
      </c>
      <c r="G12" s="54">
        <f>G13/G10</f>
        <v>7.1748865091528571E-2</v>
      </c>
      <c r="H12" s="55">
        <f t="shared" ref="H12:I12" si="3">H13/H10</f>
        <v>0.1411</v>
      </c>
      <c r="I12" s="55">
        <f t="shared" si="3"/>
        <v>0.1399</v>
      </c>
      <c r="J12" s="55">
        <f>J13/J10</f>
        <v>0.14930000000000002</v>
      </c>
      <c r="K12" s="57">
        <v>0.15</v>
      </c>
      <c r="L12" s="57">
        <v>0.15</v>
      </c>
      <c r="M12" s="57">
        <v>0.155</v>
      </c>
      <c r="N12" s="57">
        <v>0.16</v>
      </c>
      <c r="O12" s="57">
        <v>0.17</v>
      </c>
      <c r="P12" s="57">
        <v>0.17</v>
      </c>
      <c r="Q12" s="57">
        <v>0.17</v>
      </c>
      <c r="R12" s="57">
        <v>0.17</v>
      </c>
    </row>
    <row r="13" spans="1:28" s="50" customFormat="1" ht="17.100000000000001" customHeight="1" x14ac:dyDescent="0.25">
      <c r="A13" s="51"/>
      <c r="B13" s="46" t="s">
        <v>34</v>
      </c>
      <c r="C13" s="52">
        <v>193.53100000000001</v>
      </c>
      <c r="D13" s="52">
        <v>191.79400000000001</v>
      </c>
      <c r="E13" s="52">
        <v>223.09</v>
      </c>
      <c r="F13" s="52">
        <v>206.011</v>
      </c>
      <c r="G13" s="52">
        <v>162.82300000000001</v>
      </c>
      <c r="H13" s="53">
        <v>399.92811275100001</v>
      </c>
      <c r="I13" s="53">
        <v>426.411169481</v>
      </c>
      <c r="J13" s="53">
        <v>488.89806814899998</v>
      </c>
      <c r="K13" s="53">
        <f>K10*K12</f>
        <v>525.57360976500001</v>
      </c>
      <c r="L13" s="53">
        <f t="shared" ref="L13:Q13" si="4">L10*L12</f>
        <v>562.36376244855001</v>
      </c>
      <c r="M13" s="53">
        <f t="shared" si="4"/>
        <v>621.78686668061357</v>
      </c>
      <c r="N13" s="53">
        <f t="shared" si="4"/>
        <v>686.77362306916814</v>
      </c>
      <c r="O13" s="53">
        <f>O10*O12</f>
        <v>780.7757627267606</v>
      </c>
      <c r="P13" s="53">
        <f t="shared" si="4"/>
        <v>835.43006611763383</v>
      </c>
      <c r="Q13" s="53">
        <f t="shared" si="4"/>
        <v>893.91017074586819</v>
      </c>
      <c r="R13" s="53">
        <f>R10*R12</f>
        <v>911.78837416078568</v>
      </c>
    </row>
    <row r="14" spans="1:28" s="50" customFormat="1" ht="16.5" thickBot="1" x14ac:dyDescent="0.3">
      <c r="A14" s="58">
        <v>0.25</v>
      </c>
      <c r="B14" s="46" t="s">
        <v>35</v>
      </c>
      <c r="C14" s="52">
        <v>136.654</v>
      </c>
      <c r="D14" s="52">
        <v>151.667</v>
      </c>
      <c r="E14" s="52">
        <v>174.28</v>
      </c>
      <c r="F14" s="52">
        <v>179.88</v>
      </c>
      <c r="G14" s="52">
        <v>131.393</v>
      </c>
      <c r="H14" s="53">
        <v>297.04086616800004</v>
      </c>
      <c r="I14" s="53">
        <v>317.598597998</v>
      </c>
      <c r="J14" s="53">
        <v>365.11811519500003</v>
      </c>
      <c r="K14" s="53">
        <f>K13*(1-$A$14)</f>
        <v>394.18020732374998</v>
      </c>
      <c r="L14" s="53">
        <f t="shared" ref="L14:R14" si="5">L13*(1-$A$14)</f>
        <v>421.7728218364125</v>
      </c>
      <c r="M14" s="53">
        <f t="shared" si="5"/>
        <v>466.34015001046021</v>
      </c>
      <c r="N14" s="53">
        <f t="shared" si="5"/>
        <v>515.08021730187613</v>
      </c>
      <c r="O14" s="53">
        <f t="shared" si="5"/>
        <v>585.58182204507045</v>
      </c>
      <c r="P14" s="53">
        <f t="shared" si="5"/>
        <v>626.57254958822534</v>
      </c>
      <c r="Q14" s="53">
        <f t="shared" si="5"/>
        <v>670.43262805940117</v>
      </c>
      <c r="R14" s="53">
        <f t="shared" si="5"/>
        <v>683.84128062058926</v>
      </c>
    </row>
    <row r="15" spans="1:28" s="50" customFormat="1" ht="30.75" thickBot="1" x14ac:dyDescent="0.3">
      <c r="A15" s="59" t="s">
        <v>36</v>
      </c>
      <c r="B15" s="60"/>
      <c r="C15" s="61"/>
      <c r="D15" s="61"/>
      <c r="E15" s="61"/>
      <c r="F15" s="61">
        <f t="shared" ref="F15:K15" si="6">F14/F13</f>
        <v>0.87315725859298776</v>
      </c>
      <c r="G15" s="61">
        <f t="shared" si="6"/>
        <v>0.80696830300387534</v>
      </c>
      <c r="H15" s="61">
        <f t="shared" si="6"/>
        <v>0.74273564847625806</v>
      </c>
      <c r="I15" s="61">
        <f t="shared" si="6"/>
        <v>0.74481772694781989</v>
      </c>
      <c r="J15" s="61">
        <f t="shared" si="6"/>
        <v>0.74681848626925662</v>
      </c>
      <c r="K15" s="61">
        <f t="shared" si="6"/>
        <v>0.75</v>
      </c>
    </row>
    <row r="16" spans="1:28" s="50" customFormat="1" ht="15.75" x14ac:dyDescent="0.25">
      <c r="A16" s="62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64"/>
      <c r="R16" s="64"/>
    </row>
    <row r="17" spans="1:18" s="50" customFormat="1" ht="16.5" thickBot="1" x14ac:dyDescent="0.3">
      <c r="A17" s="62"/>
      <c r="G17" s="63"/>
      <c r="I17" s="63"/>
      <c r="J17" s="63"/>
      <c r="K17" s="63"/>
      <c r="L17" s="63"/>
      <c r="M17" s="63"/>
      <c r="N17" s="63"/>
      <c r="O17" s="63"/>
      <c r="P17" s="64"/>
      <c r="Q17" s="64"/>
      <c r="R17" s="64"/>
    </row>
    <row r="18" spans="1:18" s="50" customFormat="1" ht="16.5" thickBot="1" x14ac:dyDescent="0.3">
      <c r="A18" s="62"/>
      <c r="F18" s="65" t="s">
        <v>37</v>
      </c>
      <c r="G18" s="66"/>
      <c r="H18" s="67">
        <f>H14/(1+$C$62)</f>
        <v>297.04086616800004</v>
      </c>
      <c r="I18" s="67">
        <f>I14/(1+$C$62)^2</f>
        <v>317.598597998</v>
      </c>
      <c r="J18" s="67">
        <f>J14/(1+$C$62)^3</f>
        <v>365.11811519500003</v>
      </c>
      <c r="K18" s="67">
        <f>K14/(1+$C$62)^4</f>
        <v>394.18020732374998</v>
      </c>
      <c r="L18" s="67">
        <f>L14/(1+$C$62)^5</f>
        <v>421.7728218364125</v>
      </c>
      <c r="M18" s="67">
        <f>M14/(1+$C$62)^6</f>
        <v>466.34015001046021</v>
      </c>
      <c r="N18" s="67">
        <f>N14/(1+$C$62)^7</f>
        <v>515.08021730187613</v>
      </c>
      <c r="O18" s="67">
        <f>O14/(1+$C$62)^8</f>
        <v>585.58182204507045</v>
      </c>
      <c r="P18" s="67">
        <f>P14/(1+$C$62)^9</f>
        <v>626.57254958822534</v>
      </c>
      <c r="Q18" s="67">
        <f>Q14/(1+$C$62)^10</f>
        <v>670.43262805940117</v>
      </c>
      <c r="R18" s="68">
        <f>(R14/(C54-R11))/(1+C54)^10</f>
        <v>5390.3161807144179</v>
      </c>
    </row>
    <row r="19" spans="1:18" s="50" customFormat="1" ht="15.75" x14ac:dyDescent="0.25">
      <c r="A19" s="62"/>
      <c r="C19" s="69" t="s">
        <v>38</v>
      </c>
      <c r="G19" s="63"/>
      <c r="H19" s="70"/>
      <c r="I19" s="63"/>
      <c r="J19" s="63"/>
      <c r="K19" s="63"/>
      <c r="L19" s="63"/>
      <c r="M19" s="63"/>
      <c r="N19" s="63"/>
      <c r="O19" s="63"/>
      <c r="P19" s="64"/>
      <c r="Q19" s="64"/>
      <c r="R19" s="64"/>
    </row>
    <row r="20" spans="1:18" s="50" customFormat="1" ht="15.75" x14ac:dyDescent="0.25">
      <c r="A20" s="62"/>
      <c r="C20" s="50" t="s">
        <v>39</v>
      </c>
      <c r="P20" s="64"/>
      <c r="Q20" s="64"/>
      <c r="R20" s="64"/>
    </row>
    <row r="21" spans="1:18" s="50" customFormat="1" ht="16.5" thickBot="1" x14ac:dyDescent="0.3">
      <c r="P21" s="64"/>
      <c r="Q21" s="64"/>
      <c r="R21" s="64"/>
    </row>
    <row r="22" spans="1:18" s="50" customFormat="1" ht="15.75" x14ac:dyDescent="0.25">
      <c r="A22" s="71" t="s">
        <v>40</v>
      </c>
      <c r="B22" s="72"/>
      <c r="C22" s="72"/>
      <c r="D22" s="73"/>
      <c r="E22" s="74"/>
      <c r="F22" s="72"/>
      <c r="G22" s="75" t="s">
        <v>41</v>
      </c>
      <c r="H22" s="74"/>
      <c r="I22" s="76">
        <v>1E-3</v>
      </c>
      <c r="J22" s="77" t="s">
        <v>42</v>
      </c>
    </row>
    <row r="23" spans="1:18" s="50" customFormat="1" x14ac:dyDescent="0.25">
      <c r="A23" s="78"/>
      <c r="B23" s="79"/>
      <c r="C23" s="79"/>
      <c r="D23" s="80"/>
      <c r="E23" s="79"/>
      <c r="F23" s="79"/>
      <c r="G23" s="81"/>
      <c r="I23" s="82"/>
      <c r="J23" s="83"/>
    </row>
    <row r="24" spans="1:18" s="50" customFormat="1" ht="15.75" x14ac:dyDescent="0.25">
      <c r="A24" s="78"/>
      <c r="B24" s="79"/>
      <c r="C24" s="79"/>
      <c r="D24" s="84"/>
      <c r="F24" s="79"/>
      <c r="G24" s="81" t="s">
        <v>43</v>
      </c>
      <c r="I24" s="85">
        <v>7.8200000000000006E-2</v>
      </c>
      <c r="J24" s="83"/>
    </row>
    <row r="25" spans="1:18" s="50" customFormat="1" ht="15.75" x14ac:dyDescent="0.25">
      <c r="A25" s="78"/>
      <c r="B25" s="79"/>
      <c r="C25" s="79"/>
      <c r="D25" s="84"/>
      <c r="F25" s="79"/>
      <c r="G25" s="81"/>
      <c r="I25" s="82"/>
      <c r="J25" s="83"/>
    </row>
    <row r="26" spans="1:18" s="50" customFormat="1" ht="15.75" x14ac:dyDescent="0.25">
      <c r="A26" s="78"/>
      <c r="B26" s="79"/>
      <c r="C26" s="79"/>
      <c r="D26" s="84"/>
      <c r="F26" s="79"/>
      <c r="G26" s="81" t="s">
        <v>44</v>
      </c>
      <c r="I26" s="86">
        <v>0.08</v>
      </c>
      <c r="J26" s="83" t="s">
        <v>45</v>
      </c>
    </row>
    <row r="27" spans="1:18" s="50" customFormat="1" ht="15.75" x14ac:dyDescent="0.25">
      <c r="A27" s="78"/>
      <c r="B27" s="79"/>
      <c r="C27" s="79"/>
      <c r="D27" s="87"/>
      <c r="F27" s="79"/>
      <c r="G27" s="81"/>
      <c r="I27" s="82"/>
      <c r="J27" s="83"/>
    </row>
    <row r="28" spans="1:18" s="50" customFormat="1" ht="15.75" x14ac:dyDescent="0.25">
      <c r="A28" s="78"/>
      <c r="B28" s="79"/>
      <c r="C28" s="79"/>
      <c r="D28" s="87"/>
      <c r="F28" s="79"/>
      <c r="G28" s="81" t="s">
        <v>73</v>
      </c>
      <c r="I28" s="82">
        <v>0.99</v>
      </c>
      <c r="J28" s="83" t="s">
        <v>46</v>
      </c>
    </row>
    <row r="29" spans="1:18" s="50" customFormat="1" ht="15.75" x14ac:dyDescent="0.25">
      <c r="A29" s="78"/>
      <c r="B29" s="79"/>
      <c r="C29" s="79"/>
      <c r="D29" s="88"/>
      <c r="F29" s="79"/>
      <c r="G29" s="81"/>
      <c r="I29" s="82"/>
      <c r="J29" s="83"/>
    </row>
    <row r="30" spans="1:18" s="50" customFormat="1" x14ac:dyDescent="0.25">
      <c r="A30" s="78"/>
      <c r="B30" s="79"/>
      <c r="C30" s="79"/>
      <c r="D30" s="80"/>
      <c r="F30" s="79"/>
      <c r="G30" s="81" t="s">
        <v>47</v>
      </c>
      <c r="I30" s="86">
        <v>7.9200000000000007E-2</v>
      </c>
      <c r="J30" s="83" t="s">
        <v>48</v>
      </c>
    </row>
    <row r="31" spans="1:18" s="50" customFormat="1" x14ac:dyDescent="0.25">
      <c r="A31" s="81"/>
      <c r="C31" s="89"/>
      <c r="E31" s="79"/>
      <c r="F31" s="79"/>
      <c r="G31" s="81"/>
      <c r="J31" s="83"/>
    </row>
    <row r="32" spans="1:18" s="50" customFormat="1" ht="15.75" x14ac:dyDescent="0.25">
      <c r="A32" s="81"/>
      <c r="G32" s="90" t="s">
        <v>49</v>
      </c>
      <c r="H32" s="91"/>
      <c r="I32" s="92">
        <v>7.9200000000000007E-2</v>
      </c>
      <c r="J32" s="83"/>
    </row>
    <row r="33" spans="1:10" s="50" customFormat="1" x14ac:dyDescent="0.25">
      <c r="A33" s="78" t="s">
        <v>50</v>
      </c>
      <c r="B33" s="79"/>
      <c r="C33" s="93"/>
      <c r="D33" s="94"/>
      <c r="G33" s="81"/>
      <c r="J33" s="83"/>
    </row>
    <row r="34" spans="1:10" s="50" customFormat="1" ht="15.75" hidden="1" customHeight="1" x14ac:dyDescent="0.25">
      <c r="A34" s="81"/>
      <c r="G34" s="81"/>
      <c r="J34" s="83"/>
    </row>
    <row r="35" spans="1:10" s="50" customFormat="1" ht="15.75" hidden="1" customHeight="1" x14ac:dyDescent="0.25">
      <c r="A35" s="81"/>
      <c r="B35" s="50" t="s">
        <v>51</v>
      </c>
      <c r="D35" s="95">
        <v>0.08</v>
      </c>
      <c r="G35" s="81"/>
      <c r="J35" s="83"/>
    </row>
    <row r="36" spans="1:10" s="50" customFormat="1" ht="15.75" hidden="1" customHeight="1" x14ac:dyDescent="0.25">
      <c r="A36" s="81"/>
      <c r="G36" s="81"/>
      <c r="J36" s="83"/>
    </row>
    <row r="37" spans="1:10" s="50" customFormat="1" ht="15.75" hidden="1" customHeight="1" x14ac:dyDescent="0.25">
      <c r="A37" s="81"/>
      <c r="G37" s="81"/>
      <c r="J37" s="83"/>
    </row>
    <row r="38" spans="1:10" s="50" customFormat="1" ht="15.75" hidden="1" customHeight="1" x14ac:dyDescent="0.25">
      <c r="A38" s="81"/>
      <c r="G38" s="81"/>
      <c r="J38" s="83"/>
    </row>
    <row r="39" spans="1:10" s="50" customFormat="1" hidden="1" x14ac:dyDescent="0.25">
      <c r="A39" s="81"/>
      <c r="B39" s="89"/>
      <c r="C39" s="89">
        <v>0.12</v>
      </c>
      <c r="D39" s="89" t="e">
        <f>((NPV(C39,$H$22:$R$22)+(#REF!*(1+#REF!)/(C39-#REF!))/(1+C39)^(2040-2020))/$D$57)/$C$58-1</f>
        <v>#REF!</v>
      </c>
      <c r="G39" s="81"/>
      <c r="J39" s="83"/>
    </row>
    <row r="40" spans="1:10" s="50" customFormat="1" hidden="1" x14ac:dyDescent="0.25">
      <c r="A40" s="81"/>
      <c r="B40" s="89"/>
      <c r="C40" s="89">
        <v>0.14000000000000001</v>
      </c>
      <c r="D40" s="89" t="e">
        <f>((NPV(C40,$H$22:$R$22)+(#REF!*(1+#REF!)/(C40-#REF!))/(1+C40)^(2040-2020))/$D$57)/$C$58-1</f>
        <v>#REF!</v>
      </c>
      <c r="G40" s="81"/>
      <c r="J40" s="83"/>
    </row>
    <row r="41" spans="1:10" s="50" customFormat="1" hidden="1" x14ac:dyDescent="0.25">
      <c r="A41" s="81"/>
      <c r="B41" s="89"/>
      <c r="C41" s="89">
        <v>0.16</v>
      </c>
      <c r="D41" s="89" t="e">
        <f>((NPV(C41,$H$22:$R$22)+(#REF!*(1+#REF!)/(C41-#REF!))/(1+C41)^(2040-2020))/$D$57)/$C$58-1</f>
        <v>#REF!</v>
      </c>
      <c r="G41" s="81"/>
      <c r="J41" s="83"/>
    </row>
    <row r="42" spans="1:10" s="50" customFormat="1" hidden="1" x14ac:dyDescent="0.25">
      <c r="A42" s="81"/>
      <c r="B42" s="89"/>
      <c r="C42" s="89">
        <v>0.18</v>
      </c>
      <c r="D42" s="89" t="e">
        <f>((NPV(C42,$H$22:$R$22)+(#REF!*(1+#REF!)/(C42-#REF!))/(1+C42)^(2040-2020))/$D$57)/$C$58-1</f>
        <v>#REF!</v>
      </c>
      <c r="G42" s="81"/>
      <c r="J42" s="83"/>
    </row>
    <row r="43" spans="1:10" s="50" customFormat="1" hidden="1" x14ac:dyDescent="0.25">
      <c r="A43" s="81"/>
      <c r="B43" s="89"/>
      <c r="C43" s="89">
        <v>0.2</v>
      </c>
      <c r="D43" s="89" t="e">
        <f>((NPV(C43,$H$22:$R$22)+(#REF!*(1+#REF!)/(C43-#REF!))/(1+C43)^(2040-2020))/$D$57)/$C$58-1</f>
        <v>#REF!</v>
      </c>
      <c r="G43" s="81"/>
      <c r="J43" s="83"/>
    </row>
    <row r="44" spans="1:10" s="50" customFormat="1" x14ac:dyDescent="0.25">
      <c r="A44" s="81"/>
      <c r="G44" s="81"/>
      <c r="J44" s="83"/>
    </row>
    <row r="45" spans="1:10" s="50" customFormat="1" ht="16.5" thickBot="1" x14ac:dyDescent="0.3">
      <c r="A45" s="96"/>
      <c r="B45" s="97" t="s">
        <v>52</v>
      </c>
      <c r="C45" s="97"/>
      <c r="D45" s="98">
        <f>I32</f>
        <v>7.9200000000000007E-2</v>
      </c>
      <c r="E45" s="97"/>
      <c r="F45" s="97"/>
      <c r="G45" s="96"/>
      <c r="H45" s="97"/>
      <c r="I45" s="97"/>
      <c r="J45" s="99"/>
    </row>
    <row r="46" spans="1:10" s="50" customFormat="1" x14ac:dyDescent="0.25"/>
    <row r="47" spans="1:10" s="50" customFormat="1" ht="15.75" x14ac:dyDescent="0.25">
      <c r="A47" s="100"/>
      <c r="B47" s="101"/>
      <c r="C47" s="102">
        <v>44631</v>
      </c>
      <c r="D47" s="103" t="s">
        <v>53</v>
      </c>
      <c r="E47" s="104"/>
      <c r="F47" s="105"/>
      <c r="G47" s="106"/>
      <c r="H47" s="106"/>
      <c r="I47" s="106"/>
    </row>
    <row r="48" spans="1:10" s="50" customFormat="1" ht="15.75" x14ac:dyDescent="0.25">
      <c r="A48" s="107" t="s">
        <v>54</v>
      </c>
      <c r="B48" s="108" t="s">
        <v>55</v>
      </c>
      <c r="C48" s="109">
        <f>C49*C50</f>
        <v>8681.7714059999998</v>
      </c>
      <c r="D48" s="110">
        <f>SUM(H18:R18)</f>
        <v>10050.034156240614</v>
      </c>
      <c r="E48" s="108" t="s">
        <v>75</v>
      </c>
    </row>
    <row r="49" spans="1:17" s="50" customFormat="1" ht="15.75" x14ac:dyDescent="0.25">
      <c r="A49" s="107"/>
      <c r="B49" s="108" t="s">
        <v>74</v>
      </c>
      <c r="C49" s="111">
        <f>'Sum of the Parts'!E67</f>
        <v>1.6340619999999999</v>
      </c>
      <c r="D49" s="111">
        <f>C49</f>
        <v>1.6340619999999999</v>
      </c>
      <c r="E49" s="108"/>
    </row>
    <row r="50" spans="1:17" s="50" customFormat="1" ht="15.75" x14ac:dyDescent="0.25">
      <c r="A50" s="107"/>
      <c r="B50" s="108" t="s">
        <v>56</v>
      </c>
      <c r="C50" s="109">
        <v>5313</v>
      </c>
      <c r="D50" s="109">
        <f>D48/(D49)</f>
        <v>6150.3383324749084</v>
      </c>
      <c r="E50" s="134" t="s">
        <v>75</v>
      </c>
    </row>
    <row r="51" spans="1:17" s="50" customFormat="1" ht="15.75" x14ac:dyDescent="0.25">
      <c r="A51" s="107"/>
      <c r="B51" s="108" t="s">
        <v>57</v>
      </c>
      <c r="C51" s="108"/>
      <c r="D51" s="112">
        <f>IF(C50/D50-1&gt;0,0,C50/D50-1)*-1</f>
        <v>0.13614508458073094</v>
      </c>
      <c r="E51" s="108"/>
    </row>
    <row r="52" spans="1:17" s="50" customFormat="1" ht="15.75" x14ac:dyDescent="0.25">
      <c r="A52" s="107"/>
      <c r="B52" s="108" t="s">
        <v>58</v>
      </c>
      <c r="C52" s="108"/>
      <c r="D52" s="113">
        <f>IF(C50/D50-1&lt;0,0,C50/D50-1)</f>
        <v>0</v>
      </c>
      <c r="E52" s="108"/>
    </row>
    <row r="53" spans="1:17" s="50" customFormat="1" ht="15.75" x14ac:dyDescent="0.25">
      <c r="A53" s="108"/>
      <c r="B53" s="108"/>
      <c r="C53" s="108"/>
      <c r="D53" s="114"/>
      <c r="E53" s="114"/>
    </row>
    <row r="54" spans="1:17" s="50" customFormat="1" ht="15.75" x14ac:dyDescent="0.25">
      <c r="A54" s="114" t="s">
        <v>59</v>
      </c>
      <c r="B54" s="108"/>
      <c r="C54" s="115">
        <f>D45</f>
        <v>7.9200000000000007E-2</v>
      </c>
      <c r="D54" s="116"/>
      <c r="E54" s="108"/>
      <c r="J54" s="117"/>
    </row>
    <row r="55" spans="1:17" s="50" customFormat="1" ht="15.75" x14ac:dyDescent="0.25">
      <c r="A55" s="114"/>
      <c r="B55" s="108"/>
      <c r="C55" s="115"/>
      <c r="D55" s="116"/>
      <c r="E55" s="108"/>
    </row>
    <row r="56" spans="1:17" s="50" customFormat="1" ht="15.75" hidden="1" x14ac:dyDescent="0.25">
      <c r="A56" s="114" t="s">
        <v>60</v>
      </c>
      <c r="B56" s="118">
        <v>0.108</v>
      </c>
      <c r="C56" s="115"/>
      <c r="D56" s="119">
        <f>SUM(H56:Q56)*1000</f>
        <v>6775887.9456741344</v>
      </c>
      <c r="E56" s="108"/>
      <c r="F56" s="50" t="s">
        <v>61</v>
      </c>
      <c r="H56" s="50">
        <f>H14/(1+$B$64)</f>
        <v>297.04086616800004</v>
      </c>
      <c r="I56" s="50">
        <f>I14/(1+$B$64)^2</f>
        <v>317.598597998</v>
      </c>
      <c r="J56" s="50">
        <f>J14/(1+$B$64)^3</f>
        <v>365.11811519500003</v>
      </c>
      <c r="K56" s="50">
        <f>K14/(1+$B$64)^4</f>
        <v>394.18020732374998</v>
      </c>
      <c r="L56" s="50">
        <f>L14/(1+$B$64)^5</f>
        <v>421.7728218364125</v>
      </c>
      <c r="M56" s="50">
        <f>M14/(1+$B$64)^6</f>
        <v>466.34015001046021</v>
      </c>
      <c r="N56" s="50">
        <f>N14/(1+$B$64)^7</f>
        <v>515.08021730187613</v>
      </c>
      <c r="O56" s="50">
        <f>O14/(1+$B$64)^8</f>
        <v>585.58182204507045</v>
      </c>
      <c r="P56" s="50">
        <f>P14/(1+$B$64)^9</f>
        <v>626.57254958822534</v>
      </c>
      <c r="Q56" s="50">
        <f>(R14/(B56-R11))/(1+B56)^10</f>
        <v>2786.6025982073393</v>
      </c>
    </row>
    <row r="57" spans="1:17" s="50" customFormat="1" ht="16.5" thickBot="1" x14ac:dyDescent="0.3">
      <c r="A57" s="91"/>
      <c r="C57" s="120"/>
      <c r="D57" s="121"/>
    </row>
    <row r="58" spans="1:17" s="50" customFormat="1" x14ac:dyDescent="0.25">
      <c r="A58" s="75" t="s">
        <v>62</v>
      </c>
      <c r="B58" s="74"/>
      <c r="C58" s="122">
        <v>32</v>
      </c>
      <c r="D58" s="74"/>
      <c r="E58" s="77"/>
    </row>
    <row r="59" spans="1:17" s="50" customFormat="1" x14ac:dyDescent="0.25">
      <c r="A59" s="81" t="s">
        <v>63</v>
      </c>
      <c r="C59" s="123"/>
      <c r="E59" s="83"/>
    </row>
    <row r="60" spans="1:17" s="50" customFormat="1" x14ac:dyDescent="0.25">
      <c r="A60" s="81"/>
      <c r="C60" s="123"/>
      <c r="E60" s="83"/>
    </row>
    <row r="61" spans="1:17" s="50" customFormat="1" x14ac:dyDescent="0.25">
      <c r="A61" s="81" t="s">
        <v>64</v>
      </c>
      <c r="C61" s="123"/>
      <c r="E61" s="124">
        <f>Q14*C58</f>
        <v>21453.844097900837</v>
      </c>
    </row>
    <row r="62" spans="1:17" s="50" customFormat="1" x14ac:dyDescent="0.25">
      <c r="A62" s="81"/>
      <c r="C62" s="123"/>
      <c r="E62" s="83"/>
    </row>
    <row r="63" spans="1:17" s="50" customFormat="1" x14ac:dyDescent="0.25">
      <c r="A63" s="81" t="s">
        <v>65</v>
      </c>
      <c r="C63" s="125">
        <v>0.25</v>
      </c>
      <c r="E63" s="83"/>
    </row>
    <row r="64" spans="1:17" s="50" customFormat="1" x14ac:dyDescent="0.25">
      <c r="A64" s="81"/>
      <c r="E64" s="83"/>
    </row>
    <row r="65" spans="1:5" s="50" customFormat="1" x14ac:dyDescent="0.25">
      <c r="A65" s="81" t="s">
        <v>66</v>
      </c>
      <c r="E65" s="124">
        <f>SUM(H14:R14)*C63</f>
        <v>1335.8898140366964</v>
      </c>
    </row>
    <row r="66" spans="1:5" s="50" customFormat="1" ht="15.75" x14ac:dyDescent="0.25">
      <c r="A66" s="81"/>
      <c r="E66" s="126"/>
    </row>
    <row r="67" spans="1:5" s="50" customFormat="1" ht="15.75" x14ac:dyDescent="0.25">
      <c r="A67" s="127" t="s">
        <v>67</v>
      </c>
      <c r="E67" s="128">
        <f>(E65*0.25)*-1</f>
        <v>-333.9724535091741</v>
      </c>
    </row>
    <row r="68" spans="1:5" s="50" customFormat="1" x14ac:dyDescent="0.25">
      <c r="A68" s="81"/>
      <c r="C68" s="89"/>
      <c r="D68" s="89"/>
      <c r="E68" s="129"/>
    </row>
    <row r="69" spans="1:5" s="50" customFormat="1" x14ac:dyDescent="0.25">
      <c r="A69" s="81" t="s">
        <v>68</v>
      </c>
      <c r="E69" s="124">
        <f>SUM(E61:E67)</f>
        <v>22455.761458428358</v>
      </c>
    </row>
    <row r="70" spans="1:5" s="50" customFormat="1" x14ac:dyDescent="0.25">
      <c r="A70" s="81"/>
      <c r="E70" s="124"/>
    </row>
    <row r="71" spans="1:5" s="50" customFormat="1" x14ac:dyDescent="0.25">
      <c r="A71" s="81" t="s">
        <v>69</v>
      </c>
      <c r="E71" s="129">
        <f>E69/C48-1</f>
        <v>1.5865414335730046</v>
      </c>
    </row>
    <row r="72" spans="1:5" s="50" customFormat="1" x14ac:dyDescent="0.25">
      <c r="A72" s="81"/>
      <c r="E72" s="83"/>
    </row>
    <row r="73" spans="1:5" s="50" customFormat="1" ht="15.75" thickBot="1" x14ac:dyDescent="0.3">
      <c r="A73" s="130" t="s">
        <v>70</v>
      </c>
      <c r="B73" s="131"/>
      <c r="C73" s="131"/>
      <c r="D73" s="131"/>
      <c r="E73" s="132">
        <f>(E69/C48)^(1/10)-1</f>
        <v>9.9694223967567774E-2</v>
      </c>
    </row>
  </sheetData>
  <conditionalFormatting sqref="L8">
    <cfRule type="top10" dxfId="0" priority="3" percent="1" rank="10"/>
  </conditionalFormatting>
  <conditionalFormatting sqref="C31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9:D43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Sum of the Parts</vt:lpstr>
      <vt:lpstr>Renditeerwartung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Christian Lämmle</cp:lastModifiedBy>
  <dcterms:created xsi:type="dcterms:W3CDTF">2015-06-05T18:19:34Z</dcterms:created>
  <dcterms:modified xsi:type="dcterms:W3CDTF">2022-03-18T08:50:39Z</dcterms:modified>
</cp:coreProperties>
</file>