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b4952b37a507c8/Desktop/WirLiebenAktien/Aktienanalysen/Shell/"/>
    </mc:Choice>
  </mc:AlternateContent>
  <xr:revisionPtr revIDLastSave="35" documentId="11_9059631F393C3A291FCCA0C09DAD89B49E7BD770" xr6:coauthVersionLast="47" xr6:coauthVersionMax="47" xr10:uidLastSave="{5337B8D0-2FEC-4157-B1E3-9B3115221FF5}"/>
  <bookViews>
    <workbookView xWindow="-120" yWindow="-120" windowWidth="29040" windowHeight="15720" activeTab="1" xr2:uid="{00000000-000D-0000-FFFF-FFFF00000000}"/>
  </bookViews>
  <sheets>
    <sheet name="Pessimistisch" sheetId="30" r:id="rId1"/>
    <sheet name="Optimistisch" sheetId="2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30" l="1"/>
  <c r="F13" i="30"/>
  <c r="E13" i="30"/>
  <c r="D13" i="30"/>
  <c r="C13" i="30"/>
  <c r="G12" i="30"/>
  <c r="F12" i="30"/>
  <c r="E12" i="30"/>
  <c r="D12" i="30"/>
  <c r="C16" i="27"/>
  <c r="D16" i="27"/>
  <c r="E16" i="27"/>
  <c r="D50" i="30" l="1"/>
  <c r="C49" i="30"/>
  <c r="I31" i="30"/>
  <c r="I33" i="30" s="1"/>
  <c r="D46" i="30" s="1"/>
  <c r="C55" i="30" s="1"/>
  <c r="I25" i="30"/>
  <c r="F16" i="30"/>
  <c r="K15" i="30"/>
  <c r="K57" i="30" s="1"/>
  <c r="J15" i="30"/>
  <c r="J57" i="30" s="1"/>
  <c r="I15" i="30"/>
  <c r="I57" i="30" s="1"/>
  <c r="H15" i="30"/>
  <c r="H57" i="30" s="1"/>
  <c r="G16" i="30"/>
  <c r="K14" i="30"/>
  <c r="J14" i="30"/>
  <c r="I14" i="30"/>
  <c r="H14" i="30"/>
  <c r="K12" i="30"/>
  <c r="J12" i="30"/>
  <c r="I12" i="30"/>
  <c r="H12" i="30"/>
  <c r="L11" i="30"/>
  <c r="M11" i="30" s="1"/>
  <c r="I31" i="27"/>
  <c r="I25" i="27"/>
  <c r="H16" i="30" l="1"/>
  <c r="H19" i="30"/>
  <c r="N11" i="30"/>
  <c r="M14" i="30"/>
  <c r="M15" i="30" s="1"/>
  <c r="L14" i="30"/>
  <c r="L15" i="30" s="1"/>
  <c r="I19" i="30"/>
  <c r="I16" i="30"/>
  <c r="J19" i="30"/>
  <c r="K16" i="30"/>
  <c r="K19" i="30"/>
  <c r="J16" i="30"/>
  <c r="K15" i="27"/>
  <c r="J15" i="27"/>
  <c r="H15" i="27"/>
  <c r="I15" i="27"/>
  <c r="I33" i="27"/>
  <c r="D46" i="27" s="1"/>
  <c r="C55" i="27" s="1"/>
  <c r="H12" i="27"/>
  <c r="I12" i="27"/>
  <c r="J12" i="27"/>
  <c r="K12" i="27"/>
  <c r="J14" i="27"/>
  <c r="J16" i="27" s="1"/>
  <c r="I14" i="27"/>
  <c r="H14" i="27"/>
  <c r="C13" i="27"/>
  <c r="D13" i="27"/>
  <c r="E13" i="27"/>
  <c r="F13" i="27"/>
  <c r="G13" i="27"/>
  <c r="D12" i="27"/>
  <c r="E12" i="27"/>
  <c r="F12" i="27"/>
  <c r="D50" i="27"/>
  <c r="C49" i="27"/>
  <c r="F16" i="27"/>
  <c r="G16" i="27"/>
  <c r="G12" i="27"/>
  <c r="L11" i="27"/>
  <c r="J57" i="27"/>
  <c r="K14" i="27"/>
  <c r="L19" i="30" l="1"/>
  <c r="L57" i="30"/>
  <c r="M19" i="30"/>
  <c r="M57" i="30"/>
  <c r="O11" i="30"/>
  <c r="N14" i="30"/>
  <c r="N15" i="30" s="1"/>
  <c r="J19" i="27"/>
  <c r="H19" i="27"/>
  <c r="L14" i="27"/>
  <c r="L15" i="27" s="1"/>
  <c r="M11" i="27"/>
  <c r="K19" i="27"/>
  <c r="K16" i="27"/>
  <c r="K57" i="27"/>
  <c r="I19" i="27"/>
  <c r="I16" i="27"/>
  <c r="I57" i="27"/>
  <c r="H16" i="27"/>
  <c r="H57" i="27"/>
  <c r="P11" i="30" l="1"/>
  <c r="O14" i="30"/>
  <c r="O15" i="30" s="1"/>
  <c r="N19" i="30"/>
  <c r="N57" i="30"/>
  <c r="M14" i="27"/>
  <c r="M15" i="27" s="1"/>
  <c r="N11" i="27"/>
  <c r="L57" i="27"/>
  <c r="L19" i="27"/>
  <c r="O19" i="30" l="1"/>
  <c r="O57" i="30"/>
  <c r="Q11" i="30"/>
  <c r="P14" i="30"/>
  <c r="P15" i="30" s="1"/>
  <c r="O11" i="27"/>
  <c r="N14" i="27"/>
  <c r="N15" i="27" s="1"/>
  <c r="M57" i="27"/>
  <c r="M19" i="27"/>
  <c r="R11" i="30" l="1"/>
  <c r="R14" i="30" s="1"/>
  <c r="R15" i="30" s="1"/>
  <c r="D42" i="30" s="1"/>
  <c r="Q14" i="30"/>
  <c r="Q15" i="30" s="1"/>
  <c r="P57" i="30"/>
  <c r="P19" i="30"/>
  <c r="D44" i="30"/>
  <c r="D43" i="30"/>
  <c r="D40" i="30"/>
  <c r="D41" i="30"/>
  <c r="P11" i="27"/>
  <c r="O14" i="27"/>
  <c r="O15" i="27" s="1"/>
  <c r="N57" i="27"/>
  <c r="N19" i="27"/>
  <c r="Q19" i="30" l="1"/>
  <c r="E62" i="30"/>
  <c r="R19" i="30"/>
  <c r="Q57" i="30"/>
  <c r="D57" i="30" s="1"/>
  <c r="E66" i="30"/>
  <c r="E68" i="30" s="1"/>
  <c r="O57" i="27"/>
  <c r="O19" i="27"/>
  <c r="P14" i="27"/>
  <c r="P15" i="27" s="1"/>
  <c r="Q11" i="27"/>
  <c r="D49" i="30" l="1"/>
  <c r="D51" i="30" s="1"/>
  <c r="D53" i="30" s="1"/>
  <c r="E70" i="30"/>
  <c r="Q14" i="27"/>
  <c r="Q15" i="27" s="1"/>
  <c r="E62" i="27" s="1"/>
  <c r="R11" i="27"/>
  <c r="R14" i="27" s="1"/>
  <c r="R15" i="27" s="1"/>
  <c r="P57" i="27"/>
  <c r="P19" i="27"/>
  <c r="D52" i="30" l="1"/>
  <c r="D44" i="27"/>
  <c r="E74" i="30"/>
  <c r="E72" i="30"/>
  <c r="D41" i="27"/>
  <c r="E66" i="27"/>
  <c r="E68" i="27" s="1"/>
  <c r="Q57" i="27"/>
  <c r="D57" i="27" s="1"/>
  <c r="R19" i="27"/>
  <c r="D42" i="27"/>
  <c r="Q19" i="27"/>
  <c r="D40" i="27"/>
  <c r="D43" i="27"/>
  <c r="E70" i="27" l="1"/>
  <c r="E72" i="27" s="1"/>
  <c r="D49" i="27"/>
  <c r="D51" i="27" s="1"/>
  <c r="E74" i="27" l="1"/>
  <c r="D52" i="27"/>
  <c r="D53" i="27"/>
</calcChain>
</file>

<file path=xl/sharedStrings.xml><?xml version="1.0" encoding="utf-8"?>
<sst xmlns="http://schemas.openxmlformats.org/spreadsheetml/2006/main" count="94" uniqueCount="46">
  <si>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</si>
  <si>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</si>
  <si>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</si>
  <si>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</si>
  <si>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</si>
  <si>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</si>
  <si>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</si>
  <si>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</si>
  <si>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</si>
  <si>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</si>
  <si>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</si>
  <si>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</si>
  <si>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</si>
  <si>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</si>
  <si>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</si>
  <si>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</si>
  <si>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</si>
  <si>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</si>
  <si>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</si>
  <si>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</si>
  <si>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</si>
  <si>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</si>
  <si>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</si>
  <si>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</si>
  <si>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Eigenkapitalzins</t>
  </si>
  <si>
    <t>EK-Zins</t>
  </si>
  <si>
    <t xml:space="preserve">Umsatzmultiple </t>
  </si>
  <si>
    <t>Nullzinsmarkterwartung:</t>
  </si>
  <si>
    <t>Abgezinster Gewinn in Mrd. USD:</t>
  </si>
  <si>
    <t xml:space="preserve">Gewinn </t>
  </si>
  <si>
    <t>2032ff.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</si>
  <si>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</si>
  <si>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</si>
  <si>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</si>
  <si>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</si>
  <si>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</si>
  <si>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</si>
  <si>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</si>
  <si>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</si>
  <si>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</si>
  <si>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</si>
  <si>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</si>
  <si>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FFO Multiple in 2031</t>
  </si>
  <si>
    <t>USD</t>
  </si>
  <si>
    <t>Optimistische Annahmen für Shell</t>
  </si>
  <si>
    <t>Beta Faktor: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</si>
</sst>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6" fillId="2" borderId="0" xfId="0" applyFont="1" applyFill="1"/>
    <xf numFmtId="0" fontId="0" fillId="3" borderId="0" xfId="0" applyFill="1"/>
    <xf numFmtId="0" fontId="4" fillId="3" borderId="0" xfId="0" applyFont="1" applyFill="1" applyAlignment="1">
      <alignment vertical="center" wrapText="1"/>
    </xf>
    <xf numFmtId="0" fontId="8" fillId="2" borderId="0" xfId="0" applyFont="1" applyFill="1"/>
    <xf numFmtId="9" fontId="8" fillId="2" borderId="0" xfId="1" applyFont="1" applyFill="1"/>
    <xf numFmtId="0" fontId="0" fillId="4" borderId="0" xfId="0" applyFill="1"/>
    <xf numFmtId="0" fontId="4" fillId="4" borderId="0" xfId="0" applyFont="1" applyFill="1"/>
    <xf numFmtId="0" fontId="3" fillId="4" borderId="0" xfId="0" applyFont="1" applyFill="1"/>
    <xf numFmtId="0" fontId="4" fillId="5" borderId="0" xfId="0" applyFont="1" applyFill="1"/>
    <xf numFmtId="9" fontId="2" fillId="6" borderId="0" xfId="1" applyFont="1" applyFill="1"/>
    <xf numFmtId="165" fontId="2" fillId="7" borderId="0" xfId="1" applyNumberFormat="1" applyFont="1" applyFill="1"/>
    <xf numFmtId="0" fontId="0" fillId="2" borderId="1" xfId="0" applyFill="1" applyBorder="1" applyAlignment="1">
      <alignment wrapText="1"/>
    </xf>
    <xf numFmtId="0" fontId="7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4" fillId="6" borderId="0" xfId="0" applyNumberFormat="1" applyFont="1" applyFill="1"/>
    <xf numFmtId="0" fontId="4" fillId="6" borderId="0" xfId="0" applyFont="1" applyFill="1" applyAlignment="1">
      <alignment horizontal="right"/>
    </xf>
    <xf numFmtId="0" fontId="6" fillId="6" borderId="0" xfId="0" applyFont="1" applyFill="1"/>
    <xf numFmtId="0" fontId="9" fillId="6" borderId="0" xfId="0" applyFont="1" applyFill="1"/>
    <xf numFmtId="4" fontId="4" fillId="6" borderId="0" xfId="0" applyNumberFormat="1" applyFont="1" applyFill="1"/>
    <xf numFmtId="0" fontId="4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0" fillId="2" borderId="0" xfId="0" applyFont="1" applyFill="1"/>
    <xf numFmtId="4" fontId="4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2" fillId="2" borderId="0" xfId="1" applyNumberFormat="1" applyFont="1" applyFill="1" applyBorder="1"/>
    <xf numFmtId="3" fontId="4" fillId="2" borderId="0" xfId="0" applyNumberFormat="1" applyFont="1" applyFill="1" applyBorder="1"/>
    <xf numFmtId="165" fontId="4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4" fillId="2" borderId="0" xfId="0" applyNumberFormat="1" applyFont="1" applyFill="1" applyBorder="1"/>
    <xf numFmtId="9" fontId="0" fillId="2" borderId="0" xfId="1" applyFont="1" applyFill="1" applyBorder="1"/>
    <xf numFmtId="10" fontId="4" fillId="2" borderId="10" xfId="0" applyNumberFormat="1" applyFont="1" applyFill="1" applyBorder="1"/>
    <xf numFmtId="0" fontId="4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8" fillId="8" borderId="0" xfId="0" applyNumberFormat="1" applyFont="1" applyFill="1"/>
    <xf numFmtId="0" fontId="4" fillId="8" borderId="0" xfId="0" applyFont="1" applyFill="1"/>
    <xf numFmtId="1" fontId="2" fillId="8" borderId="0" xfId="1" applyNumberFormat="1" applyFont="1" applyFill="1"/>
    <xf numFmtId="10" fontId="4" fillId="8" borderId="0" xfId="1" applyNumberFormat="1" applyFont="1" applyFill="1"/>
    <xf numFmtId="0" fontId="0" fillId="2" borderId="1" xfId="0" applyFill="1" applyBorder="1"/>
    <xf numFmtId="0" fontId="8" fillId="2" borderId="2" xfId="0" applyFont="1" applyFill="1" applyBorder="1"/>
    <xf numFmtId="2" fontId="6" fillId="2" borderId="2" xfId="0" applyNumberFormat="1" applyFont="1" applyFill="1" applyBorder="1"/>
    <xf numFmtId="2" fontId="6" fillId="2" borderId="3" xfId="0" applyNumberFormat="1" applyFont="1" applyFill="1" applyBorder="1"/>
    <xf numFmtId="0" fontId="9" fillId="7" borderId="0" xfId="0" applyFont="1" applyFill="1" applyAlignment="1">
      <alignment horizontal="right" vertical="center"/>
    </xf>
    <xf numFmtId="0" fontId="4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4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5" fillId="2" borderId="8" xfId="0" quotePrefix="1" applyNumberFormat="1" applyFont="1" applyFill="1" applyBorder="1"/>
    <xf numFmtId="10" fontId="0" fillId="2" borderId="7" xfId="0" applyNumberFormat="1" applyFill="1" applyBorder="1"/>
    <xf numFmtId="4" fontId="11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4" fillId="2" borderId="0" xfId="1" applyNumberFormat="1" applyFont="1" applyFill="1"/>
    <xf numFmtId="1" fontId="2" fillId="2" borderId="0" xfId="1" applyNumberFormat="1" applyFont="1" applyFill="1"/>
    <xf numFmtId="165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7" borderId="0" xfId="0" applyNumberFormat="1" applyFont="1" applyFill="1"/>
    <xf numFmtId="10" fontId="0" fillId="8" borderId="0" xfId="0" applyNumberFormat="1" applyFill="1"/>
    <xf numFmtId="4" fontId="2" fillId="8" borderId="0" xfId="1" applyNumberFormat="1" applyFont="1" applyFill="1"/>
    <xf numFmtId="0" fontId="0" fillId="2" borderId="0" xfId="0" quotePrefix="1" applyFill="1"/>
    <xf numFmtId="0" fontId="4" fillId="2" borderId="7" xfId="0" applyFont="1" applyFill="1" applyBorder="1"/>
    <xf numFmtId="0" fontId="4" fillId="2" borderId="0" xfId="0" applyFont="1" applyFill="1" applyBorder="1"/>
    <xf numFmtId="10" fontId="4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9" fontId="8" fillId="7" borderId="0" xfId="1" applyFont="1" applyFill="1"/>
    <xf numFmtId="2" fontId="8" fillId="2" borderId="0" xfId="0" applyNumberFormat="1" applyFont="1" applyFill="1"/>
    <xf numFmtId="2" fontId="0" fillId="2" borderId="0" xfId="0" applyNumberFormat="1" applyFill="1"/>
    <xf numFmtId="4" fontId="8" fillId="5" borderId="0" xfId="0" applyNumberFormat="1" applyFont="1" applyFill="1"/>
    <xf numFmtId="9" fontId="8" fillId="5" borderId="0" xfId="1" applyFont="1" applyFill="1"/>
  </cellXfs>
  <cellStyles count="5">
    <cellStyle name="Prozent" xfId="1" builtinId="5"/>
    <cellStyle name="Prozent 2" xfId="2" xr:uid="{00000000-0005-0000-0000-000001000000}"/>
    <cellStyle name="Prozent 3" xfId="4" xr:uid="{169B7543-F2CC-4295-9DDD-0A196FE86CE1}"/>
    <cellStyle name="Standard" xfId="0" builtinId="0"/>
    <cellStyle name="Standard 2" xfId="3" xr:uid="{14602260-65DE-4188-9DEC-46CAF1B28A7B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ADB5F1BF-2853-4AB9-9C4A-FFCBDA166612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A2FFA692-EF03-4D51-8F47-65482D96A564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148166</xdr:colOff>
      <xdr:row>22</xdr:row>
      <xdr:rowOff>84666</xdr:rowOff>
    </xdr:from>
    <xdr:to>
      <xdr:col>14</xdr:col>
      <xdr:colOff>249399</xdr:colOff>
      <xdr:row>29</xdr:row>
      <xdr:rowOff>67091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1901B08-2E72-4967-9649-51157483F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5491" y="4875741"/>
          <a:ext cx="3568333" cy="1382600"/>
        </a:xfrm>
        <a:prstGeom prst="rect">
          <a:avLst/>
        </a:prstGeom>
      </xdr:spPr>
    </xdr:pic>
    <xdr:clientData/>
  </xdr:twoCellAnchor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77910BFB-49CC-43AE-8E72-24E09D22E0F4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C0CE7FF-97C6-4B85-825B-A17BAB69FBB2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C6B6F1B6-EEEB-4607-8D59-BF41638F0B65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552F1424-A6F3-4F23-8A02-538287781B08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148166</xdr:colOff>
      <xdr:row>22</xdr:row>
      <xdr:rowOff>84666</xdr:rowOff>
    </xdr:from>
    <xdr:to>
      <xdr:col>14</xdr:col>
      <xdr:colOff>249399</xdr:colOff>
      <xdr:row>29</xdr:row>
      <xdr:rowOff>67091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67B06B0-69CD-4B51-A333-8E6E13D77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2249" y="4910666"/>
          <a:ext cx="3572566" cy="1390008"/>
        </a:xfrm>
        <a:prstGeom prst="rect">
          <a:avLst/>
        </a:prstGeom>
      </xdr:spPr>
    </xdr:pic>
    <xdr:clientData/>
  </xdr:twoCellAnchor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B64F8F87-5FE7-4C4D-9292-A2C4C6244D98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D195896F-A3C7-4B6C-AE90-A88DF70D08E8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74"/>
  <sheetViews>
    <sheetView topLeftCell="A48" zoomScale="90" zoomScaleNormal="90" workbookViewId="0">
      <selection activeCell="C11" sqref="C11:G15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1.375" style="1" bestFit="1" customWidth="1"/>
    <col min="16" max="16" width="12.125" style="1" bestFit="1" customWidth="1"/>
    <col min="17" max="18" width="10.625" style="1" customWidth="1"/>
    <col min="19" max="16384" width="10.625" style="1"/>
  </cols>
  <sheetData>
    <row r="2" spans="1:28" ht="26.25" x14ac:dyDescent="0.4">
      <c r="B2" s="34" t="s">
        <v>10</v>
      </c>
    </row>
    <row r="4" spans="1:28" x14ac:dyDescent="0.25">
      <c r="B4" s="24" t="s">
        <v>44</v>
      </c>
      <c r="L4" s="28"/>
      <c r="M4" s="28"/>
      <c r="N4" s="28"/>
      <c r="O4" s="28"/>
      <c r="P4" s="28"/>
      <c r="Q4" s="28"/>
      <c r="R4" s="28"/>
      <c r="S4" s="28"/>
    </row>
    <row r="5" spans="1:28" x14ac:dyDescent="0.25">
      <c r="L5" s="28"/>
      <c r="M5" s="28"/>
      <c r="N5" s="28"/>
      <c r="O5" s="28"/>
      <c r="P5" s="28"/>
      <c r="Q5" s="28"/>
      <c r="R5" s="28"/>
      <c r="S5" s="28"/>
    </row>
    <row r="6" spans="1:28" x14ac:dyDescent="0.25">
      <c r="B6" s="1" t="s">
        <v>40</v>
      </c>
      <c r="L6" s="28"/>
      <c r="M6" s="28"/>
      <c r="N6" s="28"/>
      <c r="O6" s="28"/>
      <c r="P6" s="28"/>
      <c r="Q6" s="28"/>
      <c r="R6" s="28"/>
      <c r="S6" s="28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1">
        <v>2022</v>
      </c>
      <c r="I10" s="61">
        <v>2023</v>
      </c>
      <c r="J10" s="61">
        <v>2024</v>
      </c>
      <c r="K10" s="61">
        <v>2025</v>
      </c>
      <c r="L10" s="61">
        <v>2026</v>
      </c>
      <c r="M10" s="61">
        <v>2027</v>
      </c>
      <c r="N10" s="61">
        <v>2028</v>
      </c>
      <c r="O10" s="61">
        <v>2029</v>
      </c>
      <c r="P10" s="61">
        <v>2030</v>
      </c>
      <c r="Q10" s="61">
        <v>2031</v>
      </c>
      <c r="R10" s="60" t="s">
        <v>30</v>
      </c>
    </row>
    <row r="11" spans="1:28" x14ac:dyDescent="0.25">
      <c r="A11" s="5"/>
      <c r="B11" s="4" t="s">
        <v>4</v>
      </c>
      <c r="C11" s="97">
        <v>305180</v>
      </c>
      <c r="D11" s="97">
        <v>388380</v>
      </c>
      <c r="E11" s="97">
        <v>344880</v>
      </c>
      <c r="F11" s="97">
        <v>180540</v>
      </c>
      <c r="G11" s="97">
        <v>261500</v>
      </c>
      <c r="H11" s="83">
        <v>340000</v>
      </c>
      <c r="I11" s="83">
        <v>315000</v>
      </c>
      <c r="J11" s="83">
        <v>285000</v>
      </c>
      <c r="K11" s="83">
        <v>255000</v>
      </c>
      <c r="L11" s="83">
        <f>K11*(1+L12)</f>
        <v>255000</v>
      </c>
      <c r="M11" s="83">
        <f t="shared" ref="M11:R11" si="0">L11*(1+M12)</f>
        <v>242250</v>
      </c>
      <c r="N11" s="83">
        <f t="shared" si="0"/>
        <v>205912.5</v>
      </c>
      <c r="O11" s="83">
        <f t="shared" si="0"/>
        <v>216208.125</v>
      </c>
      <c r="P11" s="83">
        <f t="shared" si="0"/>
        <v>216208.125</v>
      </c>
      <c r="Q11" s="83">
        <f t="shared" si="0"/>
        <v>216208.125</v>
      </c>
      <c r="R11" s="83">
        <f t="shared" si="0"/>
        <v>216208.125</v>
      </c>
    </row>
    <row r="12" spans="1:28" x14ac:dyDescent="0.25">
      <c r="A12" s="5"/>
      <c r="B12" s="4" t="s">
        <v>1</v>
      </c>
      <c r="C12" s="98"/>
      <c r="D12" s="98">
        <f>D11/C11-1</f>
        <v>0.27262599121829734</v>
      </c>
      <c r="E12" s="98">
        <f>E11/D11-1</f>
        <v>-0.11200370770894486</v>
      </c>
      <c r="F12" s="98">
        <f>F11/E11-1</f>
        <v>-0.47651356993736949</v>
      </c>
      <c r="G12" s="98">
        <f>G11/F11-1</f>
        <v>0.44843248033676741</v>
      </c>
      <c r="H12" s="94">
        <f t="shared" ref="D12:K12" si="1">H11/G11-1</f>
        <v>0.30019120458891013</v>
      </c>
      <c r="I12" s="94">
        <f t="shared" si="1"/>
        <v>-7.3529411764705843E-2</v>
      </c>
      <c r="J12" s="94">
        <f t="shared" si="1"/>
        <v>-9.5238095238095233E-2</v>
      </c>
      <c r="K12" s="94">
        <f t="shared" si="1"/>
        <v>-0.10526315789473684</v>
      </c>
      <c r="L12" s="62">
        <v>0</v>
      </c>
      <c r="M12" s="62">
        <v>-0.05</v>
      </c>
      <c r="N12" s="62">
        <v>-0.15</v>
      </c>
      <c r="O12" s="62">
        <v>0.05</v>
      </c>
      <c r="P12" s="62">
        <v>0</v>
      </c>
      <c r="Q12" s="62">
        <v>0</v>
      </c>
      <c r="R12" s="13">
        <v>0</v>
      </c>
    </row>
    <row r="13" spans="1:28" ht="15.95" customHeight="1" x14ac:dyDescent="0.25">
      <c r="A13" s="5"/>
      <c r="B13" s="4" t="s">
        <v>15</v>
      </c>
      <c r="C13" s="98">
        <f>C14/C11</f>
        <v>7.2645651746510262E-2</v>
      </c>
      <c r="D13" s="98">
        <f>D14/D11</f>
        <v>0.10136979247129101</v>
      </c>
      <c r="E13" s="98">
        <f>E14/E11</f>
        <v>8.7508698677800978E-2</v>
      </c>
      <c r="F13" s="98">
        <f>F14/F11</f>
        <v>-0.12673091835604297</v>
      </c>
      <c r="G13" s="98">
        <f>G14/G11</f>
        <v>0.12787762906309752</v>
      </c>
      <c r="H13" s="82">
        <v>0.13</v>
      </c>
      <c r="I13" s="82">
        <v>0.129</v>
      </c>
      <c r="J13" s="82">
        <v>0.12</v>
      </c>
      <c r="K13" s="82">
        <v>0.13</v>
      </c>
      <c r="L13" s="82">
        <v>0.13</v>
      </c>
      <c r="M13" s="82">
        <v>-0.01</v>
      </c>
      <c r="N13" s="82">
        <v>-0.08</v>
      </c>
      <c r="O13" s="82">
        <v>0.11</v>
      </c>
      <c r="P13" s="82">
        <v>0.11</v>
      </c>
      <c r="Q13" s="82">
        <v>0.105</v>
      </c>
      <c r="R13" s="82">
        <v>0.105</v>
      </c>
    </row>
    <row r="14" spans="1:28" ht="17.100000000000001" customHeight="1" x14ac:dyDescent="0.25">
      <c r="A14" s="5"/>
      <c r="B14" s="4" t="s">
        <v>16</v>
      </c>
      <c r="C14" s="97">
        <v>22170</v>
      </c>
      <c r="D14" s="97">
        <v>39370</v>
      </c>
      <c r="E14" s="97">
        <v>30180</v>
      </c>
      <c r="F14" s="97">
        <v>-22880</v>
      </c>
      <c r="G14" s="97">
        <v>33440</v>
      </c>
      <c r="H14" s="83">
        <f>H11*H13</f>
        <v>44200</v>
      </c>
      <c r="I14" s="83">
        <f>I11*I13</f>
        <v>40635</v>
      </c>
      <c r="J14" s="83">
        <f>J11*J13</f>
        <v>34200</v>
      </c>
      <c r="K14" s="83">
        <f>K11*K13</f>
        <v>33150</v>
      </c>
      <c r="L14" s="83">
        <f t="shared" ref="L14:R14" si="2">L11*L13</f>
        <v>33150</v>
      </c>
      <c r="M14" s="83">
        <f t="shared" si="2"/>
        <v>-2422.5</v>
      </c>
      <c r="N14" s="83">
        <f t="shared" si="2"/>
        <v>-16473</v>
      </c>
      <c r="O14" s="83">
        <f>O11*O13</f>
        <v>23782.893749999999</v>
      </c>
      <c r="P14" s="83">
        <f t="shared" si="2"/>
        <v>23782.893749999999</v>
      </c>
      <c r="Q14" s="83">
        <f t="shared" si="2"/>
        <v>22701.853124999998</v>
      </c>
      <c r="R14" s="83">
        <f t="shared" si="2"/>
        <v>22701.853124999998</v>
      </c>
    </row>
    <row r="15" spans="1:28" ht="16.5" thickBot="1" x14ac:dyDescent="0.3">
      <c r="A15" s="12">
        <v>0.25</v>
      </c>
      <c r="B15" s="4" t="s">
        <v>29</v>
      </c>
      <c r="C15" s="97">
        <v>12980</v>
      </c>
      <c r="D15" s="97">
        <v>23350</v>
      </c>
      <c r="E15" s="97">
        <v>15840</v>
      </c>
      <c r="F15" s="97">
        <v>-21680</v>
      </c>
      <c r="G15" s="97">
        <v>20100</v>
      </c>
      <c r="H15" s="83">
        <f>H11*0.0848</f>
        <v>28832</v>
      </c>
      <c r="I15" s="83">
        <f>I11*0.084</f>
        <v>26460</v>
      </c>
      <c r="J15" s="83">
        <f>J11*0.0817</f>
        <v>23284.5</v>
      </c>
      <c r="K15" s="83">
        <f>K11*0.0966</f>
        <v>24633</v>
      </c>
      <c r="L15" s="83">
        <f t="shared" ref="L15:Q15" si="3">L14*(1-$A$15)</f>
        <v>24862.5</v>
      </c>
      <c r="M15" s="83">
        <f t="shared" si="3"/>
        <v>-1816.875</v>
      </c>
      <c r="N15" s="83">
        <f>N14</f>
        <v>-16473</v>
      </c>
      <c r="O15" s="83">
        <f t="shared" si="3"/>
        <v>17837.170312499999</v>
      </c>
      <c r="P15" s="83">
        <f t="shared" si="3"/>
        <v>17837.170312499999</v>
      </c>
      <c r="Q15" s="83">
        <f t="shared" si="3"/>
        <v>17026.389843749999</v>
      </c>
      <c r="R15" s="83">
        <f>R14*(1-$A$15)</f>
        <v>17026.389843749999</v>
      </c>
    </row>
    <row r="16" spans="1:28" ht="32.25" thickBot="1" x14ac:dyDescent="0.3">
      <c r="A16" s="14" t="s">
        <v>6</v>
      </c>
      <c r="B16" s="15"/>
      <c r="C16" s="16"/>
      <c r="D16" s="16"/>
      <c r="E16" s="16"/>
      <c r="F16" s="16">
        <f t="shared" ref="F16:K16" si="4">F15/F14</f>
        <v>0.94755244755244761</v>
      </c>
      <c r="G16" s="16">
        <f t="shared" si="4"/>
        <v>0.60107655502392343</v>
      </c>
      <c r="H16" s="16">
        <f t="shared" si="4"/>
        <v>0.65230769230769226</v>
      </c>
      <c r="I16" s="16">
        <f t="shared" si="4"/>
        <v>0.65116279069767447</v>
      </c>
      <c r="J16" s="16">
        <f t="shared" si="4"/>
        <v>0.68083333333333329</v>
      </c>
      <c r="K16" s="16">
        <f t="shared" si="4"/>
        <v>0.74307692307692308</v>
      </c>
    </row>
    <row r="17" spans="1:18" x14ac:dyDescent="0.25">
      <c r="A17" s="2"/>
      <c r="G17" s="6"/>
      <c r="H17" s="6"/>
      <c r="I17" s="6"/>
      <c r="J17" s="6"/>
      <c r="K17" s="6"/>
      <c r="L17" s="95"/>
      <c r="M17" s="95"/>
      <c r="N17" s="95"/>
      <c r="O17" s="95"/>
      <c r="P17" s="95"/>
      <c r="Q17" s="95"/>
      <c r="R17" s="3"/>
    </row>
    <row r="18" spans="1:18" ht="16.5" thickBot="1" x14ac:dyDescent="0.3">
      <c r="A18" s="2"/>
      <c r="G18" s="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3"/>
    </row>
    <row r="19" spans="1:18" ht="16.5" thickBot="1" x14ac:dyDescent="0.3">
      <c r="A19" s="2"/>
      <c r="F19" s="56" t="s">
        <v>12</v>
      </c>
      <c r="G19" s="57"/>
      <c r="H19" s="58">
        <f>H15/(1+$C$55)</f>
        <v>26369.123833912567</v>
      </c>
      <c r="I19" s="58">
        <f>I15/(1+$C$55)^2</f>
        <v>22132.562573672745</v>
      </c>
      <c r="J19" s="58">
        <f>J15/(1+$C$55)^3</f>
        <v>17812.698123969651</v>
      </c>
      <c r="K19" s="58">
        <f>K15/(1+$C$55)^4</f>
        <v>17234.592871208832</v>
      </c>
      <c r="L19" s="58">
        <f>L15/(1+$C$55)^5</f>
        <v>15909.240545312732</v>
      </c>
      <c r="M19" s="58">
        <f>M15/(1+$C$55)^6</f>
        <v>-1063.2873125499216</v>
      </c>
      <c r="N19" s="58">
        <f>N15/(1+$C$55)^7</f>
        <v>-8816.9669231625721</v>
      </c>
      <c r="O19" s="58">
        <f>O15/(1+$C$55)^8</f>
        <v>8731.591363167161</v>
      </c>
      <c r="P19" s="58">
        <f>P15/(1+$C$55)^9</f>
        <v>7985.7246782212915</v>
      </c>
      <c r="Q19" s="58">
        <f>Q15/(1+$C$55)^10</f>
        <v>6971.5906281759635</v>
      </c>
      <c r="R19" s="59">
        <f>(R15/(C55-R12))/(1+C55)^10</f>
        <v>74642.297946209452</v>
      </c>
    </row>
    <row r="20" spans="1:18" x14ac:dyDescent="0.25">
      <c r="A20" s="2"/>
      <c r="C20" s="86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5" t="s">
        <v>31</v>
      </c>
      <c r="B23" s="36"/>
      <c r="C23" s="36"/>
      <c r="D23" s="37"/>
      <c r="E23" s="25"/>
      <c r="F23" s="36"/>
      <c r="G23" s="66" t="s">
        <v>32</v>
      </c>
      <c r="H23" s="25"/>
      <c r="I23" s="90">
        <v>5.0000000000000001E-3</v>
      </c>
      <c r="J23" s="26" t="s">
        <v>33</v>
      </c>
    </row>
    <row r="24" spans="1:18" x14ac:dyDescent="0.25">
      <c r="A24" s="38"/>
      <c r="B24" s="39"/>
      <c r="C24" s="39"/>
      <c r="D24" s="40"/>
      <c r="E24" s="39"/>
      <c r="F24" s="39"/>
      <c r="G24" s="27"/>
      <c r="H24" s="28"/>
      <c r="I24" s="91"/>
      <c r="J24" s="29"/>
    </row>
    <row r="25" spans="1:18" x14ac:dyDescent="0.25">
      <c r="A25" s="38"/>
      <c r="B25" s="39"/>
      <c r="C25" s="39"/>
      <c r="D25" s="41"/>
      <c r="E25" s="28"/>
      <c r="F25" s="39"/>
      <c r="G25" s="27" t="s">
        <v>34</v>
      </c>
      <c r="H25" s="28"/>
      <c r="I25" s="92">
        <f>(I27-I23)*I29</f>
        <v>8.8400000000000006E-2</v>
      </c>
      <c r="J25" s="29"/>
    </row>
    <row r="26" spans="1:18" x14ac:dyDescent="0.25">
      <c r="A26" s="38"/>
      <c r="B26" s="39"/>
      <c r="C26" s="39"/>
      <c r="D26" s="41"/>
      <c r="E26" s="28"/>
      <c r="F26" s="39"/>
      <c r="G26" s="27"/>
      <c r="H26" s="28"/>
      <c r="I26" s="91"/>
      <c r="J26" s="29"/>
    </row>
    <row r="27" spans="1:18" x14ac:dyDescent="0.25">
      <c r="A27" s="38"/>
      <c r="B27" s="39"/>
      <c r="C27" s="39"/>
      <c r="D27" s="41"/>
      <c r="E27" s="28"/>
      <c r="F27" s="39"/>
      <c r="G27" s="27" t="s">
        <v>35</v>
      </c>
      <c r="H27" s="28"/>
      <c r="I27" s="93">
        <v>7.0000000000000007E-2</v>
      </c>
      <c r="J27" s="29" t="s">
        <v>36</v>
      </c>
    </row>
    <row r="28" spans="1:18" x14ac:dyDescent="0.25">
      <c r="A28" s="38"/>
      <c r="B28" s="39"/>
      <c r="C28" s="39"/>
      <c r="D28" s="42"/>
      <c r="E28" s="28"/>
      <c r="F28" s="39"/>
      <c r="G28" s="27"/>
      <c r="H28" s="28"/>
      <c r="I28" s="91"/>
      <c r="J28" s="29"/>
    </row>
    <row r="29" spans="1:18" x14ac:dyDescent="0.25">
      <c r="A29" s="38"/>
      <c r="B29" s="39"/>
      <c r="C29" s="39"/>
      <c r="D29" s="42"/>
      <c r="E29" s="28"/>
      <c r="F29" s="39"/>
      <c r="G29" s="27" t="s">
        <v>45</v>
      </c>
      <c r="H29" s="28"/>
      <c r="I29" s="91">
        <v>1.36</v>
      </c>
      <c r="J29" s="29" t="s">
        <v>37</v>
      </c>
    </row>
    <row r="30" spans="1:18" x14ac:dyDescent="0.25">
      <c r="A30" s="38"/>
      <c r="B30" s="39"/>
      <c r="C30" s="39"/>
      <c r="D30" s="43"/>
      <c r="E30" s="28"/>
      <c r="F30" s="39"/>
      <c r="G30" s="27"/>
      <c r="H30" s="28"/>
      <c r="I30" s="91"/>
      <c r="J30" s="29"/>
    </row>
    <row r="31" spans="1:18" x14ac:dyDescent="0.25">
      <c r="A31" s="38"/>
      <c r="B31" s="39"/>
      <c r="C31" s="39"/>
      <c r="D31" s="40"/>
      <c r="E31" s="28"/>
      <c r="F31" s="39"/>
      <c r="G31" s="27" t="s">
        <v>38</v>
      </c>
      <c r="H31" s="28"/>
      <c r="I31" s="93">
        <f>I23+(I27-I23)*I29</f>
        <v>9.3400000000000011E-2</v>
      </c>
      <c r="J31" s="29" t="s">
        <v>39</v>
      </c>
    </row>
    <row r="32" spans="1:18" x14ac:dyDescent="0.25">
      <c r="A32" s="27"/>
      <c r="B32" s="28"/>
      <c r="C32" s="44"/>
      <c r="D32" s="28"/>
      <c r="E32" s="39"/>
      <c r="F32" s="39"/>
      <c r="G32" s="27"/>
      <c r="H32" s="28"/>
      <c r="I32" s="28"/>
      <c r="J32" s="29"/>
    </row>
    <row r="33" spans="1:10" x14ac:dyDescent="0.25">
      <c r="A33" s="27"/>
      <c r="B33" s="28"/>
      <c r="C33" s="28"/>
      <c r="D33" s="28"/>
      <c r="E33" s="28"/>
      <c r="F33" s="28"/>
      <c r="G33" s="87" t="s">
        <v>41</v>
      </c>
      <c r="H33" s="88"/>
      <c r="I33" s="89">
        <f>I31</f>
        <v>9.3400000000000011E-2</v>
      </c>
      <c r="J33" s="29"/>
    </row>
    <row r="34" spans="1:10" x14ac:dyDescent="0.25">
      <c r="A34" s="38" t="s">
        <v>7</v>
      </c>
      <c r="B34" s="39"/>
      <c r="C34" s="45"/>
      <c r="D34" s="30"/>
      <c r="E34" s="28"/>
      <c r="F34" s="28"/>
      <c r="G34" s="27"/>
      <c r="H34" s="28"/>
      <c r="I34" s="28"/>
      <c r="J34" s="29"/>
    </row>
    <row r="35" spans="1:10" ht="15.75" hidden="1" customHeight="1" x14ac:dyDescent="0.25">
      <c r="A35" s="27"/>
      <c r="B35" s="28"/>
      <c r="C35" s="28"/>
      <c r="D35" s="28"/>
      <c r="E35" s="28"/>
      <c r="F35" s="28"/>
      <c r="G35" s="27"/>
      <c r="H35" s="28"/>
      <c r="I35" s="28"/>
      <c r="J35" s="29"/>
    </row>
    <row r="36" spans="1:10" ht="15.75" hidden="1" customHeight="1" x14ac:dyDescent="0.25">
      <c r="A36" s="27"/>
      <c r="B36" s="28" t="s">
        <v>8</v>
      </c>
      <c r="C36" s="28"/>
      <c r="D36" s="46">
        <v>0.08</v>
      </c>
      <c r="E36" s="28"/>
      <c r="F36" s="28"/>
      <c r="G36" s="27"/>
      <c r="H36" s="28"/>
      <c r="I36" s="28"/>
      <c r="J36" s="29"/>
    </row>
    <row r="37" spans="1:10" ht="15.75" hidden="1" customHeight="1" x14ac:dyDescent="0.25">
      <c r="A37" s="27"/>
      <c r="B37" s="28"/>
      <c r="C37" s="28"/>
      <c r="D37" s="28"/>
      <c r="E37" s="28"/>
      <c r="F37" s="28"/>
      <c r="G37" s="27"/>
      <c r="H37" s="28"/>
      <c r="I37" s="28"/>
      <c r="J37" s="29"/>
    </row>
    <row r="38" spans="1:10" ht="15.75" hidden="1" customHeight="1" x14ac:dyDescent="0.25">
      <c r="A38" s="27"/>
      <c r="B38" s="28"/>
      <c r="C38" s="28"/>
      <c r="D38" s="28"/>
      <c r="E38" s="28"/>
      <c r="F38" s="28"/>
      <c r="G38" s="27"/>
      <c r="H38" s="28"/>
      <c r="I38" s="28"/>
      <c r="J38" s="29"/>
    </row>
    <row r="39" spans="1:10" ht="15.75" hidden="1" customHeight="1" x14ac:dyDescent="0.25">
      <c r="A39" s="27"/>
      <c r="B39" s="28"/>
      <c r="C39" s="28"/>
      <c r="D39" s="28"/>
      <c r="E39" s="28"/>
      <c r="F39" s="28"/>
      <c r="G39" s="27"/>
      <c r="H39" s="28"/>
      <c r="I39" s="28"/>
      <c r="J39" s="29"/>
    </row>
    <row r="40" spans="1:10" hidden="1" x14ac:dyDescent="0.25">
      <c r="A40" s="27"/>
      <c r="B40" s="47"/>
      <c r="C40" s="47">
        <v>0.12</v>
      </c>
      <c r="D40" s="47" t="e">
        <f>((NPV(C40,$H$15:$R$15)+(#REF!*(1+#REF!)/(C40-#REF!))/(1+C40)^(2040-2020))/$D$50)/$C$51-1</f>
        <v>#REF!</v>
      </c>
      <c r="E40" s="28"/>
      <c r="F40" s="28"/>
      <c r="G40" s="27"/>
      <c r="H40" s="28"/>
      <c r="I40" s="28"/>
      <c r="J40" s="29"/>
    </row>
    <row r="41" spans="1:10" hidden="1" x14ac:dyDescent="0.25">
      <c r="A41" s="27"/>
      <c r="B41" s="47"/>
      <c r="C41" s="47">
        <v>0.14000000000000001</v>
      </c>
      <c r="D41" s="47" t="e">
        <f>((NPV(C41,$H$15:$R$15)+(#REF!*(1+#REF!)/(C41-#REF!))/(1+C41)^(2040-2020))/$D$50)/$C$51-1</f>
        <v>#REF!</v>
      </c>
      <c r="E41" s="28"/>
      <c r="F41" s="28"/>
      <c r="G41" s="27"/>
      <c r="H41" s="28"/>
      <c r="I41" s="28"/>
      <c r="J41" s="29"/>
    </row>
    <row r="42" spans="1:10" hidden="1" x14ac:dyDescent="0.25">
      <c r="A42" s="27"/>
      <c r="B42" s="47"/>
      <c r="C42" s="47">
        <v>0.16</v>
      </c>
      <c r="D42" s="47" t="e">
        <f>((NPV(C42,$H$15:$R$15)+(#REF!*(1+#REF!)/(C42-#REF!))/(1+C42)^(2040-2020))/$D$50)/$C$51-1</f>
        <v>#REF!</v>
      </c>
      <c r="E42" s="28"/>
      <c r="F42" s="28"/>
      <c r="G42" s="27"/>
      <c r="H42" s="28"/>
      <c r="I42" s="28"/>
      <c r="J42" s="29"/>
    </row>
    <row r="43" spans="1:10" hidden="1" x14ac:dyDescent="0.25">
      <c r="A43" s="27"/>
      <c r="B43" s="47"/>
      <c r="C43" s="47">
        <v>0.18</v>
      </c>
      <c r="D43" s="47" t="e">
        <f>((NPV(C43,$H$15:$R$15)+(#REF!*(1+#REF!)/(C43-#REF!))/(1+C43)^(2040-2020))/$D$50)/$C$51-1</f>
        <v>#REF!</v>
      </c>
      <c r="E43" s="28"/>
      <c r="F43" s="28"/>
      <c r="G43" s="27"/>
      <c r="H43" s="28"/>
      <c r="I43" s="28"/>
      <c r="J43" s="29"/>
    </row>
    <row r="44" spans="1:10" hidden="1" x14ac:dyDescent="0.25">
      <c r="A44" s="27"/>
      <c r="B44" s="47"/>
      <c r="C44" s="47">
        <v>0.2</v>
      </c>
      <c r="D44" s="47" t="e">
        <f>((NPV(C44,$H$15:$R$15)+(#REF!*(1+#REF!)/(C44-#REF!))/(1+C44)^(2040-2020))/$D$50)/$C$51-1</f>
        <v>#REF!</v>
      </c>
      <c r="E44" s="28"/>
      <c r="F44" s="28"/>
      <c r="G44" s="27"/>
      <c r="H44" s="28"/>
      <c r="I44" s="28"/>
      <c r="J44" s="29"/>
    </row>
    <row r="45" spans="1:10" x14ac:dyDescent="0.25">
      <c r="A45" s="27"/>
      <c r="B45" s="28"/>
      <c r="C45" s="28"/>
      <c r="D45" s="28"/>
      <c r="E45" s="28"/>
      <c r="F45" s="28"/>
      <c r="G45" s="27"/>
      <c r="H45" s="28"/>
      <c r="I45" s="28"/>
      <c r="J45" s="29"/>
    </row>
    <row r="46" spans="1:10" ht="16.5" thickBot="1" x14ac:dyDescent="0.3">
      <c r="A46" s="31"/>
      <c r="B46" s="32" t="s">
        <v>25</v>
      </c>
      <c r="C46" s="32"/>
      <c r="D46" s="48">
        <f>I33</f>
        <v>9.3400000000000011E-2</v>
      </c>
      <c r="E46" s="32"/>
      <c r="F46" s="32"/>
      <c r="G46" s="31"/>
      <c r="H46" s="32"/>
      <c r="I46" s="32"/>
      <c r="J46" s="33"/>
    </row>
    <row r="48" spans="1:10" x14ac:dyDescent="0.25">
      <c r="A48" s="17"/>
      <c r="B48" s="18"/>
      <c r="C48" s="19">
        <v>44650</v>
      </c>
      <c r="D48" s="20" t="s">
        <v>3</v>
      </c>
      <c r="E48" s="21"/>
      <c r="F48" s="22"/>
      <c r="G48" s="23"/>
      <c r="H48" s="23"/>
      <c r="I48" s="23"/>
    </row>
    <row r="49" spans="1:17" x14ac:dyDescent="0.25">
      <c r="A49" s="49" t="s">
        <v>0</v>
      </c>
      <c r="B49" s="50" t="s">
        <v>5</v>
      </c>
      <c r="C49" s="81">
        <f>C50*C51</f>
        <v>211373.82</v>
      </c>
      <c r="D49" s="52">
        <f>SUM(H19:R19)</f>
        <v>187909.16832813789</v>
      </c>
      <c r="E49" s="50" t="s">
        <v>43</v>
      </c>
    </row>
    <row r="50" spans="1:17" x14ac:dyDescent="0.25">
      <c r="A50" s="49"/>
      <c r="B50" s="50" t="s">
        <v>11</v>
      </c>
      <c r="C50" s="51">
        <v>7587</v>
      </c>
      <c r="D50" s="51">
        <f>C50</f>
        <v>7587</v>
      </c>
      <c r="E50" s="50"/>
    </row>
    <row r="51" spans="1:17" x14ac:dyDescent="0.25">
      <c r="A51" s="49"/>
      <c r="B51" s="50" t="s">
        <v>13</v>
      </c>
      <c r="C51" s="63">
        <v>27.86</v>
      </c>
      <c r="D51" s="63">
        <f>D49/(D50)</f>
        <v>24.767255611986016</v>
      </c>
      <c r="E51" s="50" t="s">
        <v>43</v>
      </c>
    </row>
    <row r="52" spans="1:17" x14ac:dyDescent="0.25">
      <c r="A52" s="49"/>
      <c r="B52" s="50" t="s">
        <v>2</v>
      </c>
      <c r="C52" s="50"/>
      <c r="D52" s="64">
        <f>IF(C51/D51-1&gt;0,0,C51/D51-1)*-1</f>
        <v>0</v>
      </c>
      <c r="E52" s="50"/>
    </row>
    <row r="53" spans="1:17" x14ac:dyDescent="0.25">
      <c r="A53" s="49"/>
      <c r="B53" s="50" t="s">
        <v>14</v>
      </c>
      <c r="C53" s="50"/>
      <c r="D53" s="65">
        <f>IF(C51/D51-1&lt;0,0,C51/D51-1)</f>
        <v>0.12487230868313337</v>
      </c>
      <c r="E53" s="50"/>
    </row>
    <row r="54" spans="1:17" x14ac:dyDescent="0.25">
      <c r="A54" s="50"/>
      <c r="B54" s="50"/>
      <c r="C54" s="50"/>
      <c r="D54" s="53"/>
      <c r="E54" s="53"/>
    </row>
    <row r="55" spans="1:17" x14ac:dyDescent="0.25">
      <c r="A55" s="53" t="s">
        <v>24</v>
      </c>
      <c r="B55" s="50"/>
      <c r="C55" s="55">
        <f>D46</f>
        <v>9.3400000000000011E-2</v>
      </c>
      <c r="D55" s="54"/>
      <c r="E55" s="50"/>
      <c r="J55" s="80"/>
    </row>
    <row r="56" spans="1:17" x14ac:dyDescent="0.25">
      <c r="A56" s="53"/>
      <c r="B56" s="50"/>
      <c r="C56" s="55"/>
      <c r="D56" s="54"/>
      <c r="E56" s="50"/>
    </row>
    <row r="57" spans="1:17" hidden="1" x14ac:dyDescent="0.25">
      <c r="A57" s="53" t="s">
        <v>27</v>
      </c>
      <c r="B57" s="84">
        <v>0.108</v>
      </c>
      <c r="C57" s="55"/>
      <c r="D57" s="85">
        <f>SUM(H57:Q57)*1000</f>
        <v>158380288.06610081</v>
      </c>
      <c r="E57" s="50"/>
      <c r="F57" s="1" t="s">
        <v>28</v>
      </c>
      <c r="H57" s="1">
        <f>H15/(1+$B$57)</f>
        <v>26021.660649819492</v>
      </c>
      <c r="I57" s="1">
        <f>I15/(1+$B$57)^2</f>
        <v>21553.128543314779</v>
      </c>
      <c r="J57" s="1">
        <f>J15/(1+$B$57)^3</f>
        <v>17117.787681931615</v>
      </c>
      <c r="K57" s="1">
        <f>K15/(1+$B$57)^4</f>
        <v>16343.996675288685</v>
      </c>
      <c r="L57" s="1">
        <f>L15/(1+$B$57)^5</f>
        <v>14888.330267363339</v>
      </c>
      <c r="M57" s="1">
        <f>M15/(1+$B$57)^6</f>
        <v>-981.94347084109756</v>
      </c>
      <c r="N57" s="1">
        <f>N15/(1+$B$57)^7</f>
        <v>-8035.1571621172843</v>
      </c>
      <c r="O57" s="1">
        <f>O15/(1+$B$57)^8</f>
        <v>7852.4987496436079</v>
      </c>
      <c r="P57" s="1">
        <f>P15/(1+$B$57)^9</f>
        <v>7087.0927343353851</v>
      </c>
      <c r="Q57" s="1">
        <f>(R15/(B57-R12))/(1+B57)^10</f>
        <v>56532.89339736227</v>
      </c>
    </row>
    <row r="58" spans="1:17" ht="16.5" thickBot="1" x14ac:dyDescent="0.3">
      <c r="A58" s="24"/>
      <c r="C58" s="74"/>
      <c r="D58" s="75"/>
    </row>
    <row r="59" spans="1:17" x14ac:dyDescent="0.25">
      <c r="A59" s="66" t="s">
        <v>42</v>
      </c>
      <c r="B59" s="25"/>
      <c r="C59" s="77">
        <v>12</v>
      </c>
      <c r="D59" s="25"/>
      <c r="E59" s="26"/>
    </row>
    <row r="60" spans="1:17" x14ac:dyDescent="0.25">
      <c r="A60" s="27" t="s">
        <v>26</v>
      </c>
      <c r="B60" s="28"/>
      <c r="C60" s="78"/>
      <c r="D60" s="28"/>
      <c r="E60" s="29"/>
    </row>
    <row r="61" spans="1:17" x14ac:dyDescent="0.25">
      <c r="A61" s="27"/>
      <c r="B61" s="28"/>
      <c r="C61" s="78"/>
      <c r="D61" s="28"/>
      <c r="E61" s="29"/>
    </row>
    <row r="62" spans="1:17" x14ac:dyDescent="0.25">
      <c r="A62" s="27" t="s">
        <v>17</v>
      </c>
      <c r="B62" s="28"/>
      <c r="C62" s="78"/>
      <c r="D62" s="28"/>
      <c r="E62" s="67">
        <f>Q15*C59</f>
        <v>204316.67812499998</v>
      </c>
    </row>
    <row r="63" spans="1:17" x14ac:dyDescent="0.25">
      <c r="A63" s="27"/>
      <c r="B63" s="28"/>
      <c r="C63" s="78"/>
      <c r="D63" s="28"/>
      <c r="E63" s="29"/>
    </row>
    <row r="64" spans="1:17" x14ac:dyDescent="0.25">
      <c r="A64" s="27" t="s">
        <v>18</v>
      </c>
      <c r="B64" s="28"/>
      <c r="C64" s="79">
        <v>0.5</v>
      </c>
      <c r="D64" s="28"/>
      <c r="E64" s="29"/>
    </row>
    <row r="65" spans="1:5" x14ac:dyDescent="0.25">
      <c r="A65" s="27"/>
      <c r="B65" s="28"/>
      <c r="C65" s="28"/>
      <c r="D65" s="28"/>
      <c r="E65" s="29"/>
    </row>
    <row r="66" spans="1:5" x14ac:dyDescent="0.25">
      <c r="A66" s="27" t="s">
        <v>19</v>
      </c>
      <c r="B66" s="28"/>
      <c r="C66" s="28"/>
      <c r="D66" s="28"/>
      <c r="E66" s="67">
        <f>SUM(H15:R15)*C64</f>
        <v>89754.622656249994</v>
      </c>
    </row>
    <row r="67" spans="1:5" x14ac:dyDescent="0.25">
      <c r="A67" s="27"/>
      <c r="B67" s="28"/>
      <c r="C67" s="28"/>
      <c r="D67" s="28"/>
      <c r="E67" s="68"/>
    </row>
    <row r="68" spans="1:5" x14ac:dyDescent="0.25">
      <c r="A68" s="69" t="s">
        <v>20</v>
      </c>
      <c r="B68" s="28"/>
      <c r="C68" s="28"/>
      <c r="D68" s="28"/>
      <c r="E68" s="70">
        <f>(E66*0.25)*-1</f>
        <v>-22438.655664062499</v>
      </c>
    </row>
    <row r="69" spans="1:5" x14ac:dyDescent="0.25">
      <c r="A69" s="27"/>
      <c r="B69" s="28"/>
      <c r="C69" s="47"/>
      <c r="D69" s="47"/>
      <c r="E69" s="71"/>
    </row>
    <row r="70" spans="1:5" x14ac:dyDescent="0.25">
      <c r="A70" s="27" t="s">
        <v>21</v>
      </c>
      <c r="B70" s="28"/>
      <c r="C70" s="28"/>
      <c r="D70" s="28"/>
      <c r="E70" s="67">
        <f>SUM(E62:E68)</f>
        <v>271632.64511718752</v>
      </c>
    </row>
    <row r="71" spans="1:5" x14ac:dyDescent="0.25">
      <c r="A71" s="27"/>
      <c r="B71" s="28"/>
      <c r="C71" s="28"/>
      <c r="D71" s="28"/>
      <c r="E71" s="67"/>
    </row>
    <row r="72" spans="1:5" x14ac:dyDescent="0.25">
      <c r="A72" s="27" t="s">
        <v>22</v>
      </c>
      <c r="B72" s="28"/>
      <c r="C72" s="28"/>
      <c r="D72" s="28"/>
      <c r="E72" s="71">
        <f>E70/C49-1</f>
        <v>0.28508178125932293</v>
      </c>
    </row>
    <row r="73" spans="1:5" x14ac:dyDescent="0.25">
      <c r="A73" s="27"/>
      <c r="B73" s="28"/>
      <c r="C73" s="28"/>
      <c r="D73" s="28"/>
      <c r="E73" s="29"/>
    </row>
    <row r="74" spans="1:5" ht="16.5" thickBot="1" x14ac:dyDescent="0.3">
      <c r="A74" s="72" t="s">
        <v>23</v>
      </c>
      <c r="B74" s="73"/>
      <c r="C74" s="73"/>
      <c r="D74" s="73"/>
      <c r="E74" s="76">
        <f>(E70/C49)^(1/10)-1</f>
        <v>2.5399441736583483E-2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74"/>
  <sheetViews>
    <sheetView tabSelected="1" zoomScale="90" zoomScaleNormal="90" workbookViewId="0">
      <selection activeCell="D20" sqref="D20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1.375" style="1" bestFit="1" customWidth="1"/>
    <col min="16" max="16" width="12.125" style="1" bestFit="1" customWidth="1"/>
    <col min="17" max="18" width="10.625" style="1" customWidth="1"/>
    <col min="19" max="16384" width="10.625" style="1"/>
  </cols>
  <sheetData>
    <row r="2" spans="1:28" ht="26.25" x14ac:dyDescent="0.4">
      <c r="B2" s="34" t="s">
        <v>10</v>
      </c>
    </row>
    <row r="4" spans="1:28" x14ac:dyDescent="0.25">
      <c r="B4" s="24" t="s">
        <v>44</v>
      </c>
      <c r="L4" s="28"/>
      <c r="M4" s="28"/>
      <c r="N4" s="28"/>
      <c r="O4" s="28"/>
      <c r="P4" s="28"/>
      <c r="Q4" s="28"/>
      <c r="R4" s="28"/>
      <c r="S4" s="28"/>
    </row>
    <row r="5" spans="1:28" x14ac:dyDescent="0.25">
      <c r="L5" s="28"/>
      <c r="M5" s="28"/>
      <c r="N5" s="28"/>
      <c r="O5" s="28"/>
      <c r="P5" s="28"/>
      <c r="Q5" s="28"/>
      <c r="R5" s="28"/>
      <c r="S5" s="28"/>
    </row>
    <row r="6" spans="1:28" x14ac:dyDescent="0.25">
      <c r="B6" s="1" t="s">
        <v>40</v>
      </c>
      <c r="L6" s="28"/>
      <c r="M6" s="28"/>
      <c r="N6" s="28"/>
      <c r="O6" s="28"/>
      <c r="P6" s="28"/>
      <c r="Q6" s="28"/>
      <c r="R6" s="28"/>
      <c r="S6" s="28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1">
        <v>2022</v>
      </c>
      <c r="I10" s="61">
        <v>2023</v>
      </c>
      <c r="J10" s="61">
        <v>2024</v>
      </c>
      <c r="K10" s="61">
        <v>2025</v>
      </c>
      <c r="L10" s="61">
        <v>2026</v>
      </c>
      <c r="M10" s="61">
        <v>2027</v>
      </c>
      <c r="N10" s="61">
        <v>2028</v>
      </c>
      <c r="O10" s="61">
        <v>2029</v>
      </c>
      <c r="P10" s="61">
        <v>2030</v>
      </c>
      <c r="Q10" s="61">
        <v>2031</v>
      </c>
      <c r="R10" s="60" t="s">
        <v>30</v>
      </c>
    </row>
    <row r="11" spans="1:28" x14ac:dyDescent="0.25">
      <c r="A11" s="5"/>
      <c r="B11" s="4" t="s">
        <v>4</v>
      </c>
      <c r="C11" s="97">
        <v>305180</v>
      </c>
      <c r="D11" s="97">
        <v>388380</v>
      </c>
      <c r="E11" s="97">
        <v>344880</v>
      </c>
      <c r="F11" s="97">
        <v>180540</v>
      </c>
      <c r="G11" s="97">
        <v>261500</v>
      </c>
      <c r="H11" s="83">
        <v>358338.69</v>
      </c>
      <c r="I11" s="83">
        <v>328019.23</v>
      </c>
      <c r="J11" s="83">
        <v>294225.78999999998</v>
      </c>
      <c r="K11" s="83">
        <v>267502.8</v>
      </c>
      <c r="L11" s="83">
        <f>K11*(1+L12)</f>
        <v>272852.85599999997</v>
      </c>
      <c r="M11" s="83">
        <f>L11*(1+M12)</f>
        <v>278309.91311999998</v>
      </c>
      <c r="N11" s="83">
        <f>M11*(1+N12)</f>
        <v>283876.11138239998</v>
      </c>
      <c r="O11" s="83">
        <f>N11*(1+O12)</f>
        <v>289553.63361004798</v>
      </c>
      <c r="P11" s="83">
        <f>O11*(1+P12)</f>
        <v>292449.16994614847</v>
      </c>
      <c r="Q11" s="83">
        <f>P11*(1+Q12)</f>
        <v>295373.66164560994</v>
      </c>
      <c r="R11" s="83">
        <f>Q11*(1+R12)</f>
        <v>298327.39826206607</v>
      </c>
    </row>
    <row r="12" spans="1:28" x14ac:dyDescent="0.25">
      <c r="A12" s="5"/>
      <c r="B12" s="4" t="s">
        <v>1</v>
      </c>
      <c r="C12" s="98"/>
      <c r="D12" s="98">
        <f>D11/C11-1</f>
        <v>0.27262599121829734</v>
      </c>
      <c r="E12" s="98">
        <f>E11/D11-1</f>
        <v>-0.11200370770894486</v>
      </c>
      <c r="F12" s="98">
        <f>F11/E11-1</f>
        <v>-0.47651356993736949</v>
      </c>
      <c r="G12" s="98">
        <f>G11/F11-1</f>
        <v>0.44843248033676741</v>
      </c>
      <c r="H12" s="94">
        <f>H11/G11-1</f>
        <v>0.37032003824091775</v>
      </c>
      <c r="I12" s="94">
        <f>I11/H11-1</f>
        <v>-8.4611181672847091E-2</v>
      </c>
      <c r="J12" s="94">
        <f>J11/I11-1</f>
        <v>-0.10302274046555138</v>
      </c>
      <c r="K12" s="94">
        <f>K11/J11-1</f>
        <v>-9.0824771003248927E-2</v>
      </c>
      <c r="L12" s="62">
        <v>0.02</v>
      </c>
      <c r="M12" s="62">
        <v>0.02</v>
      </c>
      <c r="N12" s="62">
        <v>0.02</v>
      </c>
      <c r="O12" s="62">
        <v>0.02</v>
      </c>
      <c r="P12" s="62">
        <v>0.01</v>
      </c>
      <c r="Q12" s="62">
        <v>0.01</v>
      </c>
      <c r="R12" s="13">
        <v>0.01</v>
      </c>
    </row>
    <row r="13" spans="1:28" ht="15.95" customHeight="1" x14ac:dyDescent="0.25">
      <c r="A13" s="5"/>
      <c r="B13" s="4" t="s">
        <v>15</v>
      </c>
      <c r="C13" s="98">
        <f>C14/C11</f>
        <v>7.2645651746510262E-2</v>
      </c>
      <c r="D13" s="98">
        <f>D14/D11</f>
        <v>0.10136979247129101</v>
      </c>
      <c r="E13" s="98">
        <f>E14/E11</f>
        <v>8.7508698677800978E-2</v>
      </c>
      <c r="F13" s="98">
        <f>F14/F11</f>
        <v>-0.12673091835604297</v>
      </c>
      <c r="G13" s="98">
        <f>G14/G11</f>
        <v>0.12787762906309752</v>
      </c>
      <c r="H13" s="82">
        <v>0.13320000000000001</v>
      </c>
      <c r="I13" s="82">
        <v>0.13100000000000001</v>
      </c>
      <c r="J13" s="82">
        <v>0.12479999999999999</v>
      </c>
      <c r="K13" s="82">
        <v>0.13830000000000001</v>
      </c>
      <c r="L13" s="82">
        <v>0.13800000000000001</v>
      </c>
      <c r="M13" s="82">
        <v>0.13800000000000001</v>
      </c>
      <c r="N13" s="82">
        <v>0.14000000000000001</v>
      </c>
      <c r="O13" s="82">
        <v>0.14000000000000001</v>
      </c>
      <c r="P13" s="82">
        <v>0.14000000000000001</v>
      </c>
      <c r="Q13" s="82">
        <v>0.14000000000000001</v>
      </c>
      <c r="R13" s="82">
        <v>0.14499999999999999</v>
      </c>
    </row>
    <row r="14" spans="1:28" ht="17.100000000000001" customHeight="1" x14ac:dyDescent="0.25">
      <c r="A14" s="5"/>
      <c r="B14" s="4" t="s">
        <v>16</v>
      </c>
      <c r="C14" s="97">
        <v>22170</v>
      </c>
      <c r="D14" s="97">
        <v>39370</v>
      </c>
      <c r="E14" s="97">
        <v>30180</v>
      </c>
      <c r="F14" s="97">
        <v>-22880</v>
      </c>
      <c r="G14" s="97">
        <v>33440</v>
      </c>
      <c r="H14" s="83">
        <f>H11*H13</f>
        <v>47730.713508000008</v>
      </c>
      <c r="I14" s="83">
        <f>I11*I13</f>
        <v>42970.519130000001</v>
      </c>
      <c r="J14" s="83">
        <f>J11*J13</f>
        <v>36719.378591999994</v>
      </c>
      <c r="K14" s="83">
        <f>K11*K13</f>
        <v>36995.637240000004</v>
      </c>
      <c r="L14" s="83">
        <f>L11*L13</f>
        <v>37653.694127999996</v>
      </c>
      <c r="M14" s="83">
        <f>M11*M13</f>
        <v>38406.768010560001</v>
      </c>
      <c r="N14" s="83">
        <f>N11*N13</f>
        <v>39742.655593536001</v>
      </c>
      <c r="O14" s="83">
        <f>O11*O13</f>
        <v>40537.508705406719</v>
      </c>
      <c r="P14" s="83">
        <f>P11*P13</f>
        <v>40942.883792460787</v>
      </c>
      <c r="Q14" s="83">
        <f>Q11*Q13</f>
        <v>41352.312630385393</v>
      </c>
      <c r="R14" s="83">
        <f>R11*R13</f>
        <v>43257.472747999578</v>
      </c>
    </row>
    <row r="15" spans="1:28" ht="16.5" thickBot="1" x14ac:dyDescent="0.3">
      <c r="A15" s="12">
        <v>0.25</v>
      </c>
      <c r="B15" s="4" t="s">
        <v>29</v>
      </c>
      <c r="C15" s="97">
        <v>12980</v>
      </c>
      <c r="D15" s="97">
        <v>23350</v>
      </c>
      <c r="E15" s="97">
        <v>15840</v>
      </c>
      <c r="F15" s="97">
        <v>-21680</v>
      </c>
      <c r="G15" s="97">
        <v>20100</v>
      </c>
      <c r="H15" s="83">
        <f>H11*0.0848</f>
        <v>30387.120912000002</v>
      </c>
      <c r="I15" s="83">
        <f>I11*0.084</f>
        <v>27553.615320000001</v>
      </c>
      <c r="J15" s="83">
        <f>J11*0.0817</f>
        <v>24038.247042999996</v>
      </c>
      <c r="K15" s="83">
        <f>K11*0.0966</f>
        <v>25840.770479999999</v>
      </c>
      <c r="L15" s="83">
        <f t="shared" ref="L15:Q15" si="0">L14*(1-$A$15)</f>
        <v>28240.270595999995</v>
      </c>
      <c r="M15" s="83">
        <f t="shared" si="0"/>
        <v>28805.076007920001</v>
      </c>
      <c r="N15" s="83">
        <f t="shared" si="0"/>
        <v>29806.991695151999</v>
      </c>
      <c r="O15" s="83">
        <f t="shared" si="0"/>
        <v>30403.131529055041</v>
      </c>
      <c r="P15" s="83">
        <f t="shared" si="0"/>
        <v>30707.162844345592</v>
      </c>
      <c r="Q15" s="83">
        <f t="shared" si="0"/>
        <v>31014.234472789045</v>
      </c>
      <c r="R15" s="83">
        <f>R14*(1-$A$15)</f>
        <v>32443.104560999684</v>
      </c>
    </row>
    <row r="16" spans="1:28" ht="32.25" thickBot="1" x14ac:dyDescent="0.3">
      <c r="A16" s="14" t="s">
        <v>6</v>
      </c>
      <c r="B16" s="15"/>
      <c r="C16" s="16">
        <f t="shared" ref="C16:E16" si="1">C15/C14</f>
        <v>0.58547586829048259</v>
      </c>
      <c r="D16" s="16">
        <f t="shared" si="1"/>
        <v>0.59309118618237233</v>
      </c>
      <c r="E16" s="16">
        <f t="shared" si="1"/>
        <v>0.5248508946322068</v>
      </c>
      <c r="F16" s="16">
        <f t="shared" ref="F16:K16" si="2">F15/F14</f>
        <v>0.94755244755244761</v>
      </c>
      <c r="G16" s="16">
        <f t="shared" si="2"/>
        <v>0.60107655502392343</v>
      </c>
      <c r="H16" s="16">
        <f t="shared" si="2"/>
        <v>0.63663663663663661</v>
      </c>
      <c r="I16" s="16">
        <f t="shared" si="2"/>
        <v>0.64122137404580148</v>
      </c>
      <c r="J16" s="16">
        <f t="shared" si="2"/>
        <v>0.6546474358974359</v>
      </c>
      <c r="K16" s="16">
        <f t="shared" si="2"/>
        <v>0.69848156182212573</v>
      </c>
    </row>
    <row r="17" spans="1:18" x14ac:dyDescent="0.25">
      <c r="A17" s="2"/>
      <c r="G17" s="6"/>
      <c r="H17" s="6"/>
      <c r="I17" s="6"/>
      <c r="J17" s="6"/>
      <c r="K17" s="6"/>
      <c r="L17" s="95"/>
      <c r="M17" s="95"/>
      <c r="N17" s="95"/>
      <c r="O17" s="95"/>
      <c r="P17" s="95"/>
      <c r="Q17" s="95"/>
      <c r="R17" s="3"/>
    </row>
    <row r="18" spans="1:18" ht="16.5" thickBot="1" x14ac:dyDescent="0.3">
      <c r="A18" s="2"/>
      <c r="G18" s="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3"/>
    </row>
    <row r="19" spans="1:18" ht="16.5" thickBot="1" x14ac:dyDescent="0.3">
      <c r="A19" s="2"/>
      <c r="F19" s="56" t="s">
        <v>12</v>
      </c>
      <c r="G19" s="57"/>
      <c r="H19" s="58">
        <f>H15/(1+$C$55)</f>
        <v>27791.403797329436</v>
      </c>
      <c r="I19" s="58">
        <f>I15/(1+$C$55)^2</f>
        <v>23047.321058231595</v>
      </c>
      <c r="J19" s="58">
        <f>J15/(1+$C$55)^3</f>
        <v>18389.316412478904</v>
      </c>
      <c r="K19" s="58">
        <f>K15/(1+$C$55)^4</f>
        <v>18079.615097680005</v>
      </c>
      <c r="L19" s="58">
        <f>L15/(1+$C$55)^5</f>
        <v>18070.638832638957</v>
      </c>
      <c r="M19" s="58">
        <f>M15/(1+$C$55)^6</f>
        <v>16857.555889237003</v>
      </c>
      <c r="N19" s="58">
        <f>N15/(1+$C$55)^7</f>
        <v>15953.818967713027</v>
      </c>
      <c r="O19" s="58">
        <f>O15/(1+$C$55)^8</f>
        <v>14882.838254131415</v>
      </c>
      <c r="P19" s="58">
        <f>P15/(1+$C$55)^9</f>
        <v>13747.637311754828</v>
      </c>
      <c r="Q19" s="58">
        <f>Q15/(1+$C$55)^10</f>
        <v>12699.024771238684</v>
      </c>
      <c r="R19" s="59">
        <f>(R15/(C55-R12))/(1+C55)^10</f>
        <v>159281.61851215357</v>
      </c>
    </row>
    <row r="20" spans="1:18" x14ac:dyDescent="0.25">
      <c r="A20" s="2"/>
      <c r="C20" s="86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5" t="s">
        <v>31</v>
      </c>
      <c r="B23" s="36"/>
      <c r="C23" s="36"/>
      <c r="D23" s="37"/>
      <c r="E23" s="25"/>
      <c r="F23" s="36"/>
      <c r="G23" s="66" t="s">
        <v>32</v>
      </c>
      <c r="H23" s="25"/>
      <c r="I23" s="90">
        <v>5.0000000000000001E-3</v>
      </c>
      <c r="J23" s="26" t="s">
        <v>33</v>
      </c>
    </row>
    <row r="24" spans="1:18" x14ac:dyDescent="0.25">
      <c r="A24" s="38"/>
      <c r="B24" s="39"/>
      <c r="C24" s="39"/>
      <c r="D24" s="40"/>
      <c r="E24" s="39"/>
      <c r="F24" s="39"/>
      <c r="G24" s="27"/>
      <c r="H24" s="28"/>
      <c r="I24" s="91"/>
      <c r="J24" s="29"/>
    </row>
    <row r="25" spans="1:18" x14ac:dyDescent="0.25">
      <c r="A25" s="38"/>
      <c r="B25" s="39"/>
      <c r="C25" s="39"/>
      <c r="D25" s="41"/>
      <c r="E25" s="28"/>
      <c r="F25" s="39"/>
      <c r="G25" s="27" t="s">
        <v>34</v>
      </c>
      <c r="H25" s="28"/>
      <c r="I25" s="92">
        <f>(I27-I23)*I29</f>
        <v>8.8400000000000006E-2</v>
      </c>
      <c r="J25" s="29"/>
    </row>
    <row r="26" spans="1:18" x14ac:dyDescent="0.25">
      <c r="A26" s="38"/>
      <c r="B26" s="39"/>
      <c r="C26" s="39"/>
      <c r="D26" s="41"/>
      <c r="E26" s="28"/>
      <c r="F26" s="39"/>
      <c r="G26" s="27"/>
      <c r="H26" s="28"/>
      <c r="I26" s="91"/>
      <c r="J26" s="29"/>
    </row>
    <row r="27" spans="1:18" x14ac:dyDescent="0.25">
      <c r="A27" s="38"/>
      <c r="B27" s="39"/>
      <c r="C27" s="39"/>
      <c r="D27" s="41"/>
      <c r="E27" s="28"/>
      <c r="F27" s="39"/>
      <c r="G27" s="27" t="s">
        <v>35</v>
      </c>
      <c r="H27" s="28"/>
      <c r="I27" s="93">
        <v>7.0000000000000007E-2</v>
      </c>
      <c r="J27" s="29" t="s">
        <v>36</v>
      </c>
    </row>
    <row r="28" spans="1:18" x14ac:dyDescent="0.25">
      <c r="A28" s="38"/>
      <c r="B28" s="39"/>
      <c r="C28" s="39"/>
      <c r="D28" s="42"/>
      <c r="E28" s="28"/>
      <c r="F28" s="39"/>
      <c r="G28" s="27"/>
      <c r="H28" s="28"/>
      <c r="I28" s="91"/>
      <c r="J28" s="29"/>
    </row>
    <row r="29" spans="1:18" x14ac:dyDescent="0.25">
      <c r="A29" s="38"/>
      <c r="B29" s="39"/>
      <c r="C29" s="39"/>
      <c r="D29" s="42"/>
      <c r="E29" s="28"/>
      <c r="F29" s="39"/>
      <c r="G29" s="27" t="s">
        <v>45</v>
      </c>
      <c r="H29" s="28"/>
      <c r="I29" s="91">
        <v>1.36</v>
      </c>
      <c r="J29" s="29" t="s">
        <v>37</v>
      </c>
    </row>
    <row r="30" spans="1:18" x14ac:dyDescent="0.25">
      <c r="A30" s="38"/>
      <c r="B30" s="39"/>
      <c r="C30" s="39"/>
      <c r="D30" s="43"/>
      <c r="E30" s="28"/>
      <c r="F30" s="39"/>
      <c r="G30" s="27"/>
      <c r="H30" s="28"/>
      <c r="I30" s="91"/>
      <c r="J30" s="29"/>
    </row>
    <row r="31" spans="1:18" x14ac:dyDescent="0.25">
      <c r="A31" s="38"/>
      <c r="B31" s="39"/>
      <c r="C31" s="39"/>
      <c r="D31" s="40"/>
      <c r="E31" s="28"/>
      <c r="F31" s="39"/>
      <c r="G31" s="27" t="s">
        <v>38</v>
      </c>
      <c r="H31" s="28"/>
      <c r="I31" s="93">
        <f>I23+(I27-I23)*I29</f>
        <v>9.3400000000000011E-2</v>
      </c>
      <c r="J31" s="29" t="s">
        <v>39</v>
      </c>
    </row>
    <row r="32" spans="1:18" x14ac:dyDescent="0.25">
      <c r="A32" s="27"/>
      <c r="B32" s="28"/>
      <c r="C32" s="44"/>
      <c r="D32" s="28"/>
      <c r="E32" s="39"/>
      <c r="F32" s="39"/>
      <c r="G32" s="27"/>
      <c r="H32" s="28"/>
      <c r="I32" s="28"/>
      <c r="J32" s="29"/>
    </row>
    <row r="33" spans="1:10" x14ac:dyDescent="0.25">
      <c r="A33" s="27"/>
      <c r="B33" s="28"/>
      <c r="C33" s="28"/>
      <c r="D33" s="28"/>
      <c r="E33" s="28"/>
      <c r="F33" s="28"/>
      <c r="G33" s="87" t="s">
        <v>41</v>
      </c>
      <c r="H33" s="88"/>
      <c r="I33" s="89">
        <f>I31</f>
        <v>9.3400000000000011E-2</v>
      </c>
      <c r="J33" s="29"/>
    </row>
    <row r="34" spans="1:10" x14ac:dyDescent="0.25">
      <c r="A34" s="38" t="s">
        <v>7</v>
      </c>
      <c r="B34" s="39"/>
      <c r="C34" s="45"/>
      <c r="D34" s="30"/>
      <c r="E34" s="28"/>
      <c r="F34" s="28"/>
      <c r="G34" s="27"/>
      <c r="H34" s="28"/>
      <c r="I34" s="28"/>
      <c r="J34" s="29"/>
    </row>
    <row r="35" spans="1:10" ht="15.75" hidden="1" customHeight="1" x14ac:dyDescent="0.25">
      <c r="A35" s="27"/>
      <c r="B35" s="28"/>
      <c r="C35" s="28"/>
      <c r="D35" s="28"/>
      <c r="E35" s="28"/>
      <c r="F35" s="28"/>
      <c r="G35" s="27"/>
      <c r="H35" s="28"/>
      <c r="I35" s="28"/>
      <c r="J35" s="29"/>
    </row>
    <row r="36" spans="1:10" ht="15.75" hidden="1" customHeight="1" x14ac:dyDescent="0.25">
      <c r="A36" s="27"/>
      <c r="B36" s="28" t="s">
        <v>8</v>
      </c>
      <c r="C36" s="28"/>
      <c r="D36" s="46">
        <v>0.08</v>
      </c>
      <c r="E36" s="28"/>
      <c r="F36" s="28"/>
      <c r="G36" s="27"/>
      <c r="H36" s="28"/>
      <c r="I36" s="28"/>
      <c r="J36" s="29"/>
    </row>
    <row r="37" spans="1:10" ht="15.75" hidden="1" customHeight="1" x14ac:dyDescent="0.25">
      <c r="A37" s="27"/>
      <c r="B37" s="28"/>
      <c r="C37" s="28"/>
      <c r="D37" s="28"/>
      <c r="E37" s="28"/>
      <c r="F37" s="28"/>
      <c r="G37" s="27"/>
      <c r="H37" s="28"/>
      <c r="I37" s="28"/>
      <c r="J37" s="29"/>
    </row>
    <row r="38" spans="1:10" ht="15.75" hidden="1" customHeight="1" x14ac:dyDescent="0.25">
      <c r="A38" s="27"/>
      <c r="B38" s="28"/>
      <c r="C38" s="28"/>
      <c r="D38" s="28"/>
      <c r="E38" s="28"/>
      <c r="F38" s="28"/>
      <c r="G38" s="27"/>
      <c r="H38" s="28"/>
      <c r="I38" s="28"/>
      <c r="J38" s="29"/>
    </row>
    <row r="39" spans="1:10" ht="15.75" hidden="1" customHeight="1" x14ac:dyDescent="0.25">
      <c r="A39" s="27"/>
      <c r="B39" s="28"/>
      <c r="C39" s="28"/>
      <c r="D39" s="28"/>
      <c r="E39" s="28"/>
      <c r="F39" s="28"/>
      <c r="G39" s="27"/>
      <c r="H39" s="28"/>
      <c r="I39" s="28"/>
      <c r="J39" s="29"/>
    </row>
    <row r="40" spans="1:10" hidden="1" x14ac:dyDescent="0.25">
      <c r="A40" s="27"/>
      <c r="B40" s="47"/>
      <c r="C40" s="47">
        <v>0.12</v>
      </c>
      <c r="D40" s="47" t="e">
        <f>((NPV(C40,$H$15:$R$15)+(#REF!*(1+#REF!)/(C40-#REF!))/(1+C40)^(2040-2020))/$D$50)/$C$51-1</f>
        <v>#REF!</v>
      </c>
      <c r="E40" s="28"/>
      <c r="F40" s="28"/>
      <c r="G40" s="27"/>
      <c r="H40" s="28"/>
      <c r="I40" s="28"/>
      <c r="J40" s="29"/>
    </row>
    <row r="41" spans="1:10" hidden="1" x14ac:dyDescent="0.25">
      <c r="A41" s="27"/>
      <c r="B41" s="47"/>
      <c r="C41" s="47">
        <v>0.14000000000000001</v>
      </c>
      <c r="D41" s="47" t="e">
        <f>((NPV(C41,$H$15:$R$15)+(#REF!*(1+#REF!)/(C41-#REF!))/(1+C41)^(2040-2020))/$D$50)/$C$51-1</f>
        <v>#REF!</v>
      </c>
      <c r="E41" s="28"/>
      <c r="F41" s="28"/>
      <c r="G41" s="27"/>
      <c r="H41" s="28"/>
      <c r="I41" s="28"/>
      <c r="J41" s="29"/>
    </row>
    <row r="42" spans="1:10" hidden="1" x14ac:dyDescent="0.25">
      <c r="A42" s="27"/>
      <c r="B42" s="47"/>
      <c r="C42" s="47">
        <v>0.16</v>
      </c>
      <c r="D42" s="47" t="e">
        <f>((NPV(C42,$H$15:$R$15)+(#REF!*(1+#REF!)/(C42-#REF!))/(1+C42)^(2040-2020))/$D$50)/$C$51-1</f>
        <v>#REF!</v>
      </c>
      <c r="E42" s="28"/>
      <c r="F42" s="28"/>
      <c r="G42" s="27"/>
      <c r="H42" s="28"/>
      <c r="I42" s="28"/>
      <c r="J42" s="29"/>
    </row>
    <row r="43" spans="1:10" hidden="1" x14ac:dyDescent="0.25">
      <c r="A43" s="27"/>
      <c r="B43" s="47"/>
      <c r="C43" s="47">
        <v>0.18</v>
      </c>
      <c r="D43" s="47" t="e">
        <f>((NPV(C43,$H$15:$R$15)+(#REF!*(1+#REF!)/(C43-#REF!))/(1+C43)^(2040-2020))/$D$50)/$C$51-1</f>
        <v>#REF!</v>
      </c>
      <c r="E43" s="28"/>
      <c r="F43" s="28"/>
      <c r="G43" s="27"/>
      <c r="H43" s="28"/>
      <c r="I43" s="28"/>
      <c r="J43" s="29"/>
    </row>
    <row r="44" spans="1:10" hidden="1" x14ac:dyDescent="0.25">
      <c r="A44" s="27"/>
      <c r="B44" s="47"/>
      <c r="C44" s="47">
        <v>0.2</v>
      </c>
      <c r="D44" s="47" t="e">
        <f>((NPV(C44,$H$15:$R$15)+(#REF!*(1+#REF!)/(C44-#REF!))/(1+C44)^(2040-2020))/$D$50)/$C$51-1</f>
        <v>#REF!</v>
      </c>
      <c r="E44" s="28"/>
      <c r="F44" s="28"/>
      <c r="G44" s="27"/>
      <c r="H44" s="28"/>
      <c r="I44" s="28"/>
      <c r="J44" s="29"/>
    </row>
    <row r="45" spans="1:10" x14ac:dyDescent="0.25">
      <c r="A45" s="27"/>
      <c r="B45" s="28"/>
      <c r="C45" s="28"/>
      <c r="D45" s="28"/>
      <c r="E45" s="28"/>
      <c r="F45" s="28"/>
      <c r="G45" s="27"/>
      <c r="H45" s="28"/>
      <c r="I45" s="28"/>
      <c r="J45" s="29"/>
    </row>
    <row r="46" spans="1:10" ht="16.5" thickBot="1" x14ac:dyDescent="0.3">
      <c r="A46" s="31"/>
      <c r="B46" s="32" t="s">
        <v>25</v>
      </c>
      <c r="C46" s="32"/>
      <c r="D46" s="48">
        <f>I33</f>
        <v>9.3400000000000011E-2</v>
      </c>
      <c r="E46" s="32"/>
      <c r="F46" s="32"/>
      <c r="G46" s="31"/>
      <c r="H46" s="32"/>
      <c r="I46" s="32"/>
      <c r="J46" s="33"/>
    </row>
    <row r="48" spans="1:10" x14ac:dyDescent="0.25">
      <c r="A48" s="17"/>
      <c r="B48" s="18"/>
      <c r="C48" s="19">
        <v>44650</v>
      </c>
      <c r="D48" s="20" t="s">
        <v>3</v>
      </c>
      <c r="E48" s="21"/>
      <c r="F48" s="22"/>
      <c r="G48" s="23"/>
      <c r="H48" s="23"/>
      <c r="I48" s="23"/>
    </row>
    <row r="49" spans="1:17" x14ac:dyDescent="0.25">
      <c r="A49" s="49" t="s">
        <v>0</v>
      </c>
      <c r="B49" s="50" t="s">
        <v>5</v>
      </c>
      <c r="C49" s="81">
        <f>C50*C51</f>
        <v>211373.82</v>
      </c>
      <c r="D49" s="52">
        <f>SUM(H19:R19)</f>
        <v>338800.78890458739</v>
      </c>
      <c r="E49" s="50" t="s">
        <v>43</v>
      </c>
    </row>
    <row r="50" spans="1:17" x14ac:dyDescent="0.25">
      <c r="A50" s="49"/>
      <c r="B50" s="50" t="s">
        <v>11</v>
      </c>
      <c r="C50" s="51">
        <v>7587</v>
      </c>
      <c r="D50" s="51">
        <f>C50</f>
        <v>7587</v>
      </c>
      <c r="E50" s="50"/>
    </row>
    <row r="51" spans="1:17" x14ac:dyDescent="0.25">
      <c r="A51" s="49"/>
      <c r="B51" s="50" t="s">
        <v>13</v>
      </c>
      <c r="C51" s="63">
        <v>27.86</v>
      </c>
      <c r="D51" s="63">
        <f>D49/(D50)</f>
        <v>44.655435469169291</v>
      </c>
      <c r="E51" s="50" t="s">
        <v>43</v>
      </c>
    </row>
    <row r="52" spans="1:17" x14ac:dyDescent="0.25">
      <c r="A52" s="49"/>
      <c r="B52" s="50" t="s">
        <v>2</v>
      </c>
      <c r="C52" s="50"/>
      <c r="D52" s="64">
        <f>IF(C51/D51-1&gt;0,0,C51/D51-1)*-1</f>
        <v>0.37611178331840667</v>
      </c>
      <c r="E52" s="50"/>
    </row>
    <row r="53" spans="1:17" x14ac:dyDescent="0.25">
      <c r="A53" s="49"/>
      <c r="B53" s="50" t="s">
        <v>14</v>
      </c>
      <c r="C53" s="50"/>
      <c r="D53" s="65">
        <f>IF(C51/D51-1&lt;0,0,C51/D51-1)</f>
        <v>0</v>
      </c>
      <c r="E53" s="50"/>
    </row>
    <row r="54" spans="1:17" x14ac:dyDescent="0.25">
      <c r="A54" s="50"/>
      <c r="B54" s="50"/>
      <c r="C54" s="50"/>
      <c r="D54" s="53"/>
      <c r="E54" s="53"/>
    </row>
    <row r="55" spans="1:17" x14ac:dyDescent="0.25">
      <c r="A55" s="53" t="s">
        <v>24</v>
      </c>
      <c r="B55" s="50"/>
      <c r="C55" s="55">
        <f>D46</f>
        <v>9.3400000000000011E-2</v>
      </c>
      <c r="D55" s="54"/>
      <c r="E55" s="50"/>
      <c r="J55" s="80"/>
    </row>
    <row r="56" spans="1:17" x14ac:dyDescent="0.25">
      <c r="A56" s="53"/>
      <c r="B56" s="50"/>
      <c r="C56" s="55"/>
      <c r="D56" s="54"/>
      <c r="E56" s="50"/>
    </row>
    <row r="57" spans="1:17" hidden="1" x14ac:dyDescent="0.25">
      <c r="A57" s="53" t="s">
        <v>27</v>
      </c>
      <c r="B57" s="84">
        <v>0.108</v>
      </c>
      <c r="C57" s="55"/>
      <c r="D57" s="85">
        <f>SUM(H57:Q57)*1000</f>
        <v>276002704.80695862</v>
      </c>
      <c r="E57" s="50"/>
      <c r="F57" s="1" t="s">
        <v>28</v>
      </c>
      <c r="H57" s="1">
        <f>H15/(1+$B$57)</f>
        <v>27425.199379061371</v>
      </c>
      <c r="I57" s="1">
        <f>I15/(1+$B$57)^2</f>
        <v>22443.938504346461</v>
      </c>
      <c r="J57" s="1">
        <f>J15/(1+$B$57)^3</f>
        <v>17671.910890416133</v>
      </c>
      <c r="K57" s="1">
        <f>K15/(1+$B$57)^4</f>
        <v>17145.352446393779</v>
      </c>
      <c r="L57" s="1">
        <f>L15/(1+$B$57)^5</f>
        <v>16911.02968217024</v>
      </c>
      <c r="M57" s="1">
        <f>M15/(1+$B$57)^6</f>
        <v>15567.915411384158</v>
      </c>
      <c r="N57" s="1">
        <f>N15/(1+$B$57)^7</f>
        <v>14539.177004824318</v>
      </c>
      <c r="O57" s="1">
        <f>O15/(1+$B$57)^8</f>
        <v>13384.440925018773</v>
      </c>
      <c r="P57" s="1">
        <f>P15/(1+$B$57)^9</f>
        <v>12200.618532733717</v>
      </c>
      <c r="Q57" s="1">
        <f>(R15/(B57-R12))/(1+B57)^10</f>
        <v>118713.12203060968</v>
      </c>
    </row>
    <row r="58" spans="1:17" ht="16.5" thickBot="1" x14ac:dyDescent="0.3">
      <c r="A58" s="24"/>
      <c r="C58" s="74"/>
      <c r="D58" s="75"/>
    </row>
    <row r="59" spans="1:17" x14ac:dyDescent="0.25">
      <c r="A59" s="66" t="s">
        <v>42</v>
      </c>
      <c r="B59" s="25"/>
      <c r="C59" s="77">
        <v>15</v>
      </c>
      <c r="D59" s="25"/>
      <c r="E59" s="26"/>
    </row>
    <row r="60" spans="1:17" x14ac:dyDescent="0.25">
      <c r="A60" s="27" t="s">
        <v>26</v>
      </c>
      <c r="B60" s="28"/>
      <c r="C60" s="78"/>
      <c r="D60" s="28"/>
      <c r="E60" s="29"/>
    </row>
    <row r="61" spans="1:17" x14ac:dyDescent="0.25">
      <c r="A61" s="27"/>
      <c r="B61" s="28"/>
      <c r="C61" s="78"/>
      <c r="D61" s="28"/>
      <c r="E61" s="29"/>
    </row>
    <row r="62" spans="1:17" x14ac:dyDescent="0.25">
      <c r="A62" s="27" t="s">
        <v>17</v>
      </c>
      <c r="B62" s="28"/>
      <c r="C62" s="78"/>
      <c r="D62" s="28"/>
      <c r="E62" s="67">
        <f>Q15*C59</f>
        <v>465213.51709183567</v>
      </c>
    </row>
    <row r="63" spans="1:17" x14ac:dyDescent="0.25">
      <c r="A63" s="27"/>
      <c r="B63" s="28"/>
      <c r="C63" s="78"/>
      <c r="D63" s="28"/>
      <c r="E63" s="29"/>
    </row>
    <row r="64" spans="1:17" x14ac:dyDescent="0.25">
      <c r="A64" s="27" t="s">
        <v>18</v>
      </c>
      <c r="B64" s="28"/>
      <c r="C64" s="79">
        <v>0.5</v>
      </c>
      <c r="D64" s="28"/>
      <c r="E64" s="29"/>
    </row>
    <row r="65" spans="1:5" x14ac:dyDescent="0.25">
      <c r="A65" s="27"/>
      <c r="B65" s="28"/>
      <c r="C65" s="28"/>
      <c r="D65" s="28"/>
      <c r="E65" s="29"/>
    </row>
    <row r="66" spans="1:5" x14ac:dyDescent="0.25">
      <c r="A66" s="27" t="s">
        <v>19</v>
      </c>
      <c r="B66" s="28"/>
      <c r="C66" s="28"/>
      <c r="D66" s="28"/>
      <c r="E66" s="67">
        <f>SUM(H15:R15)*C64</f>
        <v>159619.86273063067</v>
      </c>
    </row>
    <row r="67" spans="1:5" x14ac:dyDescent="0.25">
      <c r="A67" s="27"/>
      <c r="B67" s="28"/>
      <c r="C67" s="28"/>
      <c r="D67" s="28"/>
      <c r="E67" s="68"/>
    </row>
    <row r="68" spans="1:5" x14ac:dyDescent="0.25">
      <c r="A68" s="69" t="s">
        <v>20</v>
      </c>
      <c r="B68" s="28"/>
      <c r="C68" s="28"/>
      <c r="D68" s="28"/>
      <c r="E68" s="70">
        <f>(E66*0.25)*-1</f>
        <v>-39904.965682657668</v>
      </c>
    </row>
    <row r="69" spans="1:5" x14ac:dyDescent="0.25">
      <c r="A69" s="27"/>
      <c r="B69" s="28"/>
      <c r="C69" s="47"/>
      <c r="D69" s="47"/>
      <c r="E69" s="71"/>
    </row>
    <row r="70" spans="1:5" x14ac:dyDescent="0.25">
      <c r="A70" s="27" t="s">
        <v>21</v>
      </c>
      <c r="B70" s="28"/>
      <c r="C70" s="28"/>
      <c r="D70" s="28"/>
      <c r="E70" s="67">
        <f>SUM(E62:E68)</f>
        <v>584928.41413980862</v>
      </c>
    </row>
    <row r="71" spans="1:5" x14ac:dyDescent="0.25">
      <c r="A71" s="27"/>
      <c r="B71" s="28"/>
      <c r="C71" s="28"/>
      <c r="D71" s="28"/>
      <c r="E71" s="67"/>
    </row>
    <row r="72" spans="1:5" x14ac:dyDescent="0.25">
      <c r="A72" s="27" t="s">
        <v>22</v>
      </c>
      <c r="B72" s="28"/>
      <c r="C72" s="28"/>
      <c r="D72" s="28"/>
      <c r="E72" s="71">
        <f>E70/C49-1</f>
        <v>1.7672699208435962</v>
      </c>
    </row>
    <row r="73" spans="1:5" x14ac:dyDescent="0.25">
      <c r="A73" s="27"/>
      <c r="B73" s="28"/>
      <c r="C73" s="28"/>
      <c r="D73" s="28"/>
      <c r="E73" s="29"/>
    </row>
    <row r="74" spans="1:5" ht="16.5" thickBot="1" x14ac:dyDescent="0.3">
      <c r="A74" s="72" t="s">
        <v>23</v>
      </c>
      <c r="B74" s="73"/>
      <c r="C74" s="73"/>
      <c r="D74" s="73"/>
      <c r="E74" s="76">
        <f>(E70/C49)^(1/10)-1</f>
        <v>0.10714665497546427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Christian Lämmle</cp:lastModifiedBy>
  <cp:lastPrinted>2021-08-03T18:16:56Z</cp:lastPrinted>
  <dcterms:created xsi:type="dcterms:W3CDTF">2020-02-09T06:30:31Z</dcterms:created>
  <dcterms:modified xsi:type="dcterms:W3CDTF">2022-04-01T20:12:52Z</dcterms:modified>
</cp:coreProperties>
</file>