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2b4952b37a507c8/Desktop/WirLiebenAktien/Aktienanalysen/TRow/"/>
    </mc:Choice>
  </mc:AlternateContent>
  <xr:revisionPtr revIDLastSave="26" documentId="11_F415FDC034C57FD7D47404EBE7DD0794CEFBD711" xr6:coauthVersionLast="47" xr6:coauthVersionMax="47" xr10:uidLastSave="{48F81D82-5C4D-4A64-AC23-52E9D387880C}"/>
  <bookViews>
    <workbookView xWindow="-120" yWindow="-120" windowWidth="29040" windowHeight="15720" activeTab="1" xr2:uid="{00000000-000D-0000-FFFF-FFFF00000000}"/>
  </bookViews>
  <sheets>
    <sheet name="Pessimistisch" sheetId="31" r:id="rId1"/>
    <sheet name="Optimistisch" sheetId="2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0" i="31" l="1"/>
  <c r="C49" i="31"/>
  <c r="I31" i="31"/>
  <c r="I33" i="31" s="1"/>
  <c r="D46" i="31" s="1"/>
  <c r="C55" i="31" s="1"/>
  <c r="I25" i="31"/>
  <c r="J16" i="31"/>
  <c r="I16" i="31"/>
  <c r="H16" i="31"/>
  <c r="G16" i="31"/>
  <c r="F16" i="31"/>
  <c r="E16" i="31"/>
  <c r="D16" i="31"/>
  <c r="C16" i="31"/>
  <c r="J15" i="31"/>
  <c r="J57" i="31" s="1"/>
  <c r="I15" i="31"/>
  <c r="I57" i="31" s="1"/>
  <c r="H15" i="31"/>
  <c r="H57" i="31" s="1"/>
  <c r="K14" i="31"/>
  <c r="K15" i="31" s="1"/>
  <c r="J14" i="31"/>
  <c r="I14" i="31"/>
  <c r="H14" i="31"/>
  <c r="G13" i="31"/>
  <c r="F13" i="31"/>
  <c r="E13" i="31"/>
  <c r="D13" i="31"/>
  <c r="C13" i="31"/>
  <c r="J12" i="31"/>
  <c r="I12" i="31"/>
  <c r="H12" i="31"/>
  <c r="G12" i="31"/>
  <c r="F12" i="31"/>
  <c r="E12" i="31"/>
  <c r="D12" i="31"/>
  <c r="K11" i="31"/>
  <c r="L11" i="31" s="1"/>
  <c r="I31" i="27"/>
  <c r="I25" i="27"/>
  <c r="J15" i="27"/>
  <c r="I15" i="27"/>
  <c r="H15" i="27"/>
  <c r="C16" i="27"/>
  <c r="D16" i="27"/>
  <c r="E16" i="27"/>
  <c r="H19" i="31" l="1"/>
  <c r="I19" i="31"/>
  <c r="M11" i="31"/>
  <c r="L14" i="31"/>
  <c r="L15" i="31" s="1"/>
  <c r="K57" i="31"/>
  <c r="K19" i="31"/>
  <c r="K16" i="31"/>
  <c r="J19" i="31"/>
  <c r="I33" i="27"/>
  <c r="D46" i="27" s="1"/>
  <c r="C55" i="27" s="1"/>
  <c r="H12" i="27"/>
  <c r="I12" i="27"/>
  <c r="J12" i="27"/>
  <c r="J14" i="27"/>
  <c r="J16" i="27" s="1"/>
  <c r="I14" i="27"/>
  <c r="H14" i="27"/>
  <c r="D50" i="27"/>
  <c r="C49" i="27"/>
  <c r="F16" i="27"/>
  <c r="G16" i="27"/>
  <c r="J57" i="27"/>
  <c r="L19" i="31" l="1"/>
  <c r="L57" i="31"/>
  <c r="N11" i="31"/>
  <c r="M14" i="31"/>
  <c r="M15" i="31" s="1"/>
  <c r="J19" i="27"/>
  <c r="H19" i="27"/>
  <c r="I19" i="27"/>
  <c r="I16" i="27"/>
  <c r="I57" i="27"/>
  <c r="H16" i="27"/>
  <c r="H57" i="27"/>
  <c r="M19" i="31" l="1"/>
  <c r="M57" i="31"/>
  <c r="N14" i="31"/>
  <c r="N15" i="31" s="1"/>
  <c r="O11" i="31"/>
  <c r="N19" i="31" l="1"/>
  <c r="N57" i="31"/>
  <c r="O14" i="31"/>
  <c r="O15" i="31" s="1"/>
  <c r="P11" i="31"/>
  <c r="Q11" i="31" l="1"/>
  <c r="P14" i="31"/>
  <c r="P15" i="31" s="1"/>
  <c r="O19" i="31"/>
  <c r="O57" i="31"/>
  <c r="P19" i="31" l="1"/>
  <c r="P57" i="31"/>
  <c r="R11" i="31"/>
  <c r="R14" i="31" s="1"/>
  <c r="R15" i="31" s="1"/>
  <c r="Q14" i="31"/>
  <c r="Q15" i="31" s="1"/>
  <c r="Q19" i="31" l="1"/>
  <c r="E62" i="31"/>
  <c r="D42" i="31"/>
  <c r="D41" i="31"/>
  <c r="D43" i="31"/>
  <c r="E66" i="31"/>
  <c r="E68" i="31" s="1"/>
  <c r="R19" i="31"/>
  <c r="D49" i="31" s="1"/>
  <c r="D51" i="31" s="1"/>
  <c r="Q57" i="31"/>
  <c r="D57" i="31" s="1"/>
  <c r="D44" i="31"/>
  <c r="D40" i="31"/>
  <c r="D52" i="31" l="1"/>
  <c r="D53" i="31"/>
  <c r="E70" i="31"/>
  <c r="K11" i="27"/>
  <c r="E74" i="31" l="1"/>
  <c r="E72" i="31"/>
  <c r="L11" i="27"/>
  <c r="K14" i="27"/>
  <c r="K15" i="27" l="1"/>
  <c r="M11" i="27"/>
  <c r="L14" i="27"/>
  <c r="L15" i="27" s="1"/>
  <c r="K19" i="27" l="1"/>
  <c r="K57" i="27"/>
  <c r="K16" i="27"/>
  <c r="M14" i="27"/>
  <c r="M15" i="27" s="1"/>
  <c r="N11" i="27"/>
  <c r="L19" i="27"/>
  <c r="L57" i="27"/>
  <c r="N14" i="27" l="1"/>
  <c r="N15" i="27" s="1"/>
  <c r="O11" i="27"/>
  <c r="M57" i="27"/>
  <c r="M19" i="27"/>
  <c r="N57" i="27" l="1"/>
  <c r="N19" i="27"/>
  <c r="P11" i="27"/>
  <c r="O14" i="27"/>
  <c r="O15" i="27" s="1"/>
  <c r="O19" i="27" l="1"/>
  <c r="O57" i="27"/>
  <c r="P14" i="27"/>
  <c r="P15" i="27" s="1"/>
  <c r="Q11" i="27"/>
  <c r="R11" i="27" l="1"/>
  <c r="R14" i="27" s="1"/>
  <c r="R15" i="27" s="1"/>
  <c r="Q14" i="27"/>
  <c r="Q15" i="27" s="1"/>
  <c r="P57" i="27"/>
  <c r="P19" i="27"/>
  <c r="D41" i="27"/>
  <c r="E66" i="27" l="1"/>
  <c r="E68" i="27" s="1"/>
  <c r="E62" i="27"/>
  <c r="Q19" i="27"/>
  <c r="D40" i="27"/>
  <c r="D44" i="27"/>
  <c r="D42" i="27"/>
  <c r="D43" i="27"/>
  <c r="R19" i="27"/>
  <c r="Q57" i="27"/>
  <c r="D57" i="27" s="1"/>
  <c r="E70" i="27" l="1"/>
  <c r="E72" i="27" s="1"/>
  <c r="D49" i="27"/>
  <c r="D51" i="27" s="1"/>
  <c r="D53" i="27" s="1"/>
  <c r="E74" i="27" l="1"/>
  <c r="D52" i="27"/>
</calcChain>
</file>

<file path=xl/sharedStrings.xml><?xml version="1.0" encoding="utf-8"?>
<sst xmlns="http://schemas.openxmlformats.org/spreadsheetml/2006/main" count="94" uniqueCount="47">
  <si>
    <t>Bewertung</t>
  </si>
  <si>
    <t>Umsatz-Wachstum, %</t>
  </si>
  <si>
    <t>Unterbewertung</t>
  </si>
  <si>
    <t>Fairer Wert</t>
  </si>
  <si>
    <t>Umsatz</t>
  </si>
  <si>
    <t>Marktkapitalisierung, Mio.</t>
  </si>
  <si>
    <t>Verhältnis EBIT zu Konzerngewinn:</t>
  </si>
  <si>
    <t>EK Quote:</t>
  </si>
  <si>
    <t>Vereinfachter WACC:</t>
  </si>
  <si>
    <t>Schätzungen »</t>
  </si>
  <si>
    <t>Discounted Net-Profit Modell</t>
  </si>
  <si>
    <t>Anzahl Aktien gesamt, Mio.</t>
  </si>
  <si>
    <t>Abgezinster Gewinn:</t>
  </si>
  <si>
    <t xml:space="preserve">Kurs pro Aktie </t>
  </si>
  <si>
    <t>Überbewertung</t>
  </si>
  <si>
    <t>EBIT Marge, %</t>
  </si>
  <si>
    <t>EBIT</t>
  </si>
  <si>
    <t>Konzerngewinn x multiple</t>
  </si>
  <si>
    <t xml:space="preserve">Ausschüttungsquote </t>
  </si>
  <si>
    <t xml:space="preserve">Ausgeschüttete Gewinne </t>
  </si>
  <si>
    <t>Quellensteuer</t>
  </si>
  <si>
    <t>Gesamtwert 2031</t>
  </si>
  <si>
    <t>Steigerung Gesamt bis 2031 in Prozent</t>
  </si>
  <si>
    <t>Renditeerwartung bis 2031 pro Jahr</t>
  </si>
  <si>
    <t>Eigenkapitalzins</t>
  </si>
  <si>
    <t>EK-Zins</t>
  </si>
  <si>
    <t xml:space="preserve">Umsatzmultiple </t>
  </si>
  <si>
    <t>Nullzinsmarkterwartung:</t>
  </si>
  <si>
    <t>Abgezinster Gewinn in Mrd. USD:</t>
  </si>
  <si>
    <t xml:space="preserve">Gewinn </t>
  </si>
  <si>
    <t>2032ff.</t>
  </si>
  <si>
    <t>Eigenkapitalverzinsung</t>
  </si>
  <si>
    <t>Risikoloser Basiszins:</t>
  </si>
  <si>
    <t>rF</t>
  </si>
  <si>
    <t>Risikoprämie:</t>
  </si>
  <si>
    <t>Marktrendite:</t>
  </si>
  <si>
    <t>rM</t>
  </si>
  <si>
    <t>ß</t>
  </si>
  <si>
    <t xml:space="preserve">Eigenkapitalkosten: </t>
  </si>
  <si>
    <t>rE</t>
  </si>
  <si>
    <t xml:space="preserve">Alle Angaben in Mio. </t>
  </si>
  <si>
    <t>Keine Rundung</t>
  </si>
  <si>
    <t>USD</t>
  </si>
  <si>
    <t>Beta Faktor:</t>
  </si>
  <si>
    <t>KGV Multiple in 2031</t>
  </si>
  <si>
    <t>Annahmen für TROW</t>
  </si>
  <si>
    <t xml:space="preserve"> Annahmen für TROW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</si>
</sst>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;@"/>
    <numFmt numFmtId="165" formatCode="0.0%"/>
  </numFmts>
  <fonts count="1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20"/>
      <color theme="1"/>
      <name val="Calibri"/>
      <family val="2"/>
      <scheme val="minor"/>
    </font>
    <font>
      <sz val="12"/>
      <color theme="1" tint="4.9989318521683403E-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F2F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theme="0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6" fillId="2" borderId="0" xfId="0" applyFont="1" applyFill="1"/>
    <xf numFmtId="0" fontId="0" fillId="3" borderId="0" xfId="0" applyFill="1"/>
    <xf numFmtId="0" fontId="4" fillId="3" borderId="0" xfId="0" applyFont="1" applyFill="1" applyAlignment="1">
      <alignment vertical="center" wrapText="1"/>
    </xf>
    <xf numFmtId="0" fontId="8" fillId="2" borderId="0" xfId="0" applyFont="1" applyFill="1"/>
    <xf numFmtId="9" fontId="8" fillId="2" borderId="0" xfId="1" applyFont="1" applyFill="1"/>
    <xf numFmtId="0" fontId="0" fillId="4" borderId="0" xfId="0" applyFill="1"/>
    <xf numFmtId="0" fontId="4" fillId="4" borderId="0" xfId="0" applyFont="1" applyFill="1"/>
    <xf numFmtId="0" fontId="3" fillId="4" borderId="0" xfId="0" applyFont="1" applyFill="1"/>
    <xf numFmtId="0" fontId="4" fillId="5" borderId="0" xfId="0" applyFont="1" applyFill="1"/>
    <xf numFmtId="9" fontId="2" fillId="6" borderId="0" xfId="1" applyFont="1" applyFill="1"/>
    <xf numFmtId="165" fontId="2" fillId="7" borderId="0" xfId="1" applyNumberFormat="1" applyFont="1" applyFill="1"/>
    <xf numFmtId="0" fontId="0" fillId="2" borderId="1" xfId="0" applyFill="1" applyBorder="1" applyAlignment="1">
      <alignment wrapText="1"/>
    </xf>
    <xf numFmtId="0" fontId="7" fillId="2" borderId="2" xfId="0" applyFont="1" applyFill="1" applyBorder="1"/>
    <xf numFmtId="9" fontId="0" fillId="2" borderId="3" xfId="1" applyFont="1" applyFill="1" applyBorder="1"/>
    <xf numFmtId="0" fontId="0" fillId="6" borderId="0" xfId="0" applyFill="1" applyAlignment="1">
      <alignment wrapText="1"/>
    </xf>
    <xf numFmtId="0" fontId="0" fillId="6" borderId="0" xfId="0" applyFill="1"/>
    <xf numFmtId="164" fontId="4" fillId="6" borderId="0" xfId="0" applyNumberFormat="1" applyFont="1" applyFill="1"/>
    <xf numFmtId="0" fontId="4" fillId="6" borderId="0" xfId="0" applyFont="1" applyFill="1" applyAlignment="1">
      <alignment horizontal="right"/>
    </xf>
    <xf numFmtId="0" fontId="6" fillId="6" borderId="0" xfId="0" applyFont="1" applyFill="1"/>
    <xf numFmtId="0" fontId="9" fillId="6" borderId="0" xfId="0" applyFont="1" applyFill="1"/>
    <xf numFmtId="4" fontId="4" fillId="6" borderId="0" xfId="0" applyNumberFormat="1" applyFont="1" applyFill="1"/>
    <xf numFmtId="0" fontId="4" fillId="2" borderId="0" xfId="0" applyFont="1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0" xfId="0" applyFill="1" applyBorder="1"/>
    <xf numFmtId="0" fontId="0" fillId="2" borderId="8" xfId="0" applyFill="1" applyBorder="1"/>
    <xf numFmtId="10" fontId="0" fillId="2" borderId="0" xfId="0" applyNumberFormat="1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10" fillId="2" borderId="0" xfId="0" applyFont="1" applyFill="1"/>
    <xf numFmtId="4" fontId="4" fillId="2" borderId="4" xfId="0" applyNumberFormat="1" applyFont="1" applyFill="1" applyBorder="1"/>
    <xf numFmtId="4" fontId="0" fillId="2" borderId="5" xfId="0" applyNumberFormat="1" applyFill="1" applyBorder="1"/>
    <xf numFmtId="3" fontId="0" fillId="2" borderId="5" xfId="0" applyNumberFormat="1" applyFill="1" applyBorder="1"/>
    <xf numFmtId="4" fontId="0" fillId="2" borderId="7" xfId="0" applyNumberFormat="1" applyFill="1" applyBorder="1"/>
    <xf numFmtId="4" fontId="0" fillId="2" borderId="0" xfId="0" applyNumberFormat="1" applyFill="1" applyBorder="1"/>
    <xf numFmtId="3" fontId="0" fillId="2" borderId="0" xfId="0" applyNumberFormat="1" applyFill="1" applyBorder="1"/>
    <xf numFmtId="165" fontId="2" fillId="2" borderId="0" xfId="1" applyNumberFormat="1" applyFont="1" applyFill="1" applyBorder="1"/>
    <xf numFmtId="3" fontId="4" fillId="2" borderId="0" xfId="0" applyNumberFormat="1" applyFont="1" applyFill="1" applyBorder="1"/>
    <xf numFmtId="165" fontId="4" fillId="2" borderId="0" xfId="1" applyNumberFormat="1" applyFont="1" applyFill="1" applyBorder="1"/>
    <xf numFmtId="9" fontId="0" fillId="2" borderId="0" xfId="1" applyNumberFormat="1" applyFont="1" applyFill="1" applyBorder="1"/>
    <xf numFmtId="9" fontId="0" fillId="2" borderId="0" xfId="0" applyNumberFormat="1" applyFill="1" applyBorder="1"/>
    <xf numFmtId="9" fontId="4" fillId="2" borderId="0" xfId="0" applyNumberFormat="1" applyFont="1" applyFill="1" applyBorder="1"/>
    <xf numFmtId="9" fontId="0" fillId="2" borderId="0" xfId="1" applyFont="1" applyFill="1" applyBorder="1"/>
    <xf numFmtId="10" fontId="4" fillId="2" borderId="10" xfId="0" applyNumberFormat="1" applyFont="1" applyFill="1" applyBorder="1"/>
    <xf numFmtId="0" fontId="4" fillId="8" borderId="0" xfId="0" applyFont="1" applyFill="1" applyAlignment="1">
      <alignment vertical="center" wrapText="1"/>
    </xf>
    <xf numFmtId="0" fontId="0" fillId="8" borderId="0" xfId="0" applyFill="1"/>
    <xf numFmtId="3" fontId="0" fillId="8" borderId="0" xfId="0" applyNumberFormat="1" applyFont="1" applyFill="1"/>
    <xf numFmtId="4" fontId="8" fillId="8" borderId="0" xfId="0" applyNumberFormat="1" applyFont="1" applyFill="1"/>
    <xf numFmtId="0" fontId="4" fillId="8" borderId="0" xfId="0" applyFont="1" applyFill="1"/>
    <xf numFmtId="1" fontId="2" fillId="8" borderId="0" xfId="1" applyNumberFormat="1" applyFont="1" applyFill="1"/>
    <xf numFmtId="10" fontId="4" fillId="8" borderId="0" xfId="1" applyNumberFormat="1" applyFont="1" applyFill="1"/>
    <xf numFmtId="0" fontId="0" fillId="2" borderId="1" xfId="0" applyFill="1" applyBorder="1"/>
    <xf numFmtId="0" fontId="8" fillId="2" borderId="2" xfId="0" applyFont="1" applyFill="1" applyBorder="1"/>
    <xf numFmtId="2" fontId="6" fillId="2" borderId="2" xfId="0" applyNumberFormat="1" applyFont="1" applyFill="1" applyBorder="1"/>
    <xf numFmtId="2" fontId="6" fillId="2" borderId="3" xfId="0" applyNumberFormat="1" applyFont="1" applyFill="1" applyBorder="1"/>
    <xf numFmtId="0" fontId="9" fillId="7" borderId="0" xfId="0" applyFont="1" applyFill="1" applyAlignment="1">
      <alignment horizontal="right" vertical="center"/>
    </xf>
    <xf numFmtId="0" fontId="4" fillId="7" borderId="0" xfId="0" applyFont="1" applyFill="1"/>
    <xf numFmtId="9" fontId="0" fillId="7" borderId="0" xfId="1" applyFont="1" applyFill="1"/>
    <xf numFmtId="4" fontId="0" fillId="8" borderId="0" xfId="0" applyNumberFormat="1" applyFill="1"/>
    <xf numFmtId="9" fontId="0" fillId="9" borderId="0" xfId="1" applyFont="1" applyFill="1"/>
    <xf numFmtId="9" fontId="4" fillId="8" borderId="0" xfId="1" applyFont="1" applyFill="1"/>
    <xf numFmtId="0" fontId="0" fillId="2" borderId="4" xfId="0" applyFill="1" applyBorder="1"/>
    <xf numFmtId="4" fontId="0" fillId="2" borderId="8" xfId="0" applyNumberFormat="1" applyFill="1" applyBorder="1"/>
    <xf numFmtId="3" fontId="5" fillId="2" borderId="8" xfId="0" quotePrefix="1" applyNumberFormat="1" applyFont="1" applyFill="1" applyBorder="1"/>
    <xf numFmtId="10" fontId="0" fillId="2" borderId="7" xfId="0" applyNumberFormat="1" applyFill="1" applyBorder="1"/>
    <xf numFmtId="4" fontId="11" fillId="2" borderId="8" xfId="0" quotePrefix="1" applyNumberFormat="1" applyFont="1" applyFill="1" applyBorder="1"/>
    <xf numFmtId="9" fontId="0" fillId="2" borderId="8" xfId="1" applyFont="1" applyFill="1" applyBorder="1"/>
    <xf numFmtId="0" fontId="0" fillId="10" borderId="9" xfId="0" applyFill="1" applyBorder="1"/>
    <xf numFmtId="0" fontId="0" fillId="10" borderId="10" xfId="0" applyFill="1" applyBorder="1"/>
    <xf numFmtId="10" fontId="4" fillId="2" borderId="0" xfId="1" applyNumberFormat="1" applyFont="1" applyFill="1"/>
    <xf numFmtId="1" fontId="2" fillId="2" borderId="0" xfId="1" applyNumberFormat="1" applyFont="1" applyFill="1"/>
    <xf numFmtId="165" fontId="0" fillId="10" borderId="11" xfId="1" applyNumberFormat="1" applyFont="1" applyFill="1" applyBorder="1"/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9" fontId="0" fillId="2" borderId="0" xfId="0" applyNumberFormat="1" applyFill="1" applyBorder="1" applyAlignment="1">
      <alignment horizontal="center"/>
    </xf>
    <xf numFmtId="9" fontId="0" fillId="2" borderId="0" xfId="1" applyFont="1" applyFill="1"/>
    <xf numFmtId="4" fontId="0" fillId="8" borderId="0" xfId="0" applyNumberFormat="1" applyFont="1" applyFill="1"/>
    <xf numFmtId="165" fontId="0" fillId="7" borderId="0" xfId="1" applyNumberFormat="1" applyFont="1" applyFill="1"/>
    <xf numFmtId="4" fontId="0" fillId="7" borderId="0" xfId="0" applyNumberFormat="1" applyFont="1" applyFill="1"/>
    <xf numFmtId="10" fontId="0" fillId="8" borderId="0" xfId="0" applyNumberFormat="1" applyFill="1"/>
    <xf numFmtId="4" fontId="2" fillId="8" borderId="0" xfId="1" applyNumberFormat="1" applyFont="1" applyFill="1"/>
    <xf numFmtId="0" fontId="0" fillId="2" borderId="0" xfId="0" quotePrefix="1" applyFill="1"/>
    <xf numFmtId="0" fontId="4" fillId="2" borderId="7" xfId="0" applyFont="1" applyFill="1" applyBorder="1"/>
    <xf numFmtId="0" fontId="4" fillId="2" borderId="0" xfId="0" applyFont="1" applyFill="1" applyBorder="1"/>
    <xf numFmtId="10" fontId="4" fillId="2" borderId="0" xfId="0" applyNumberFormat="1" applyFont="1" applyFill="1" applyBorder="1"/>
    <xf numFmtId="10" fontId="0" fillId="2" borderId="5" xfId="0" applyNumberForma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10" fontId="0" fillId="2" borderId="0" xfId="1" applyNumberFormat="1" applyFont="1" applyFill="1" applyBorder="1" applyAlignment="1">
      <alignment horizontal="right"/>
    </xf>
    <xf numFmtId="10" fontId="0" fillId="2" borderId="0" xfId="0" applyNumberFormat="1" applyFill="1" applyBorder="1" applyAlignment="1">
      <alignment horizontal="right"/>
    </xf>
    <xf numFmtId="9" fontId="8" fillId="7" borderId="0" xfId="1" applyFont="1" applyFill="1"/>
    <xf numFmtId="2" fontId="8" fillId="2" borderId="0" xfId="0" applyNumberFormat="1" applyFont="1" applyFill="1"/>
    <xf numFmtId="2" fontId="0" fillId="2" borderId="0" xfId="0" applyNumberFormat="1" applyFill="1"/>
    <xf numFmtId="4" fontId="8" fillId="5" borderId="0" xfId="0" applyNumberFormat="1" applyFont="1" applyFill="1"/>
    <xf numFmtId="9" fontId="8" fillId="5" borderId="0" xfId="1" applyFont="1" applyFill="1"/>
  </cellXfs>
  <cellStyles count="5">
    <cellStyle name="Prozent" xfId="1" builtinId="5"/>
    <cellStyle name="Prozent 2" xfId="2" xr:uid="{00000000-0005-0000-0000-000001000000}"/>
    <cellStyle name="Prozent 3" xfId="4" xr:uid="{00000000-0005-0000-0000-000002000000}"/>
    <cellStyle name="Standard" xfId="0" builtinId="0"/>
    <cellStyle name="Standard 2" xfId="3" xr:uid="{00000000-0005-0000-0000-000004000000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99FF"/>
      <color rgb="FFFFCC99"/>
      <color rgb="FFFFCC66"/>
      <color rgb="FFFFEB7D"/>
      <color rgb="FF009900"/>
      <color rgb="FFCCCCFF"/>
      <color rgb="FF9966FF"/>
      <color rgb="FF9900CC"/>
      <color rgb="FFFFD802"/>
      <color rgb="FFFFFA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154782</xdr:colOff>
      <xdr:row>15</xdr:row>
      <xdr:rowOff>19845</xdr:rowOff>
    </xdr:from>
    <xdr:to>
      <xdr:col>2</xdr:col>
      <xdr:colOff>952500</xdr:colOff>
      <xdr:row>18</xdr:row>
      <xdr:rowOff>142875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id="{92BFCB74-AF64-4437-BF32-3E5D37719EBF}"/>
            </a:ext>
          </a:extLst>
        </xdr:cNvPr>
        <xdr:cNvCxnSpPr/>
      </xdr:nvCxnSpPr>
      <xdr:spPr>
        <a:xfrm flipH="1" flipV="1">
          <a:off x="2221707" y="3172620"/>
          <a:ext cx="3264693" cy="94218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1071563</xdr:colOff>
      <xdr:row>16</xdr:row>
      <xdr:rowOff>23812</xdr:rowOff>
    </xdr:from>
    <xdr:to>
      <xdr:col>4</xdr:col>
      <xdr:colOff>797718</xdr:colOff>
      <xdr:row>18</xdr:row>
      <xdr:rowOff>166687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D6D8A3C5-ADB9-419C-A0E0-D2A6D9355962}"/>
            </a:ext>
          </a:extLst>
        </xdr:cNvPr>
        <xdr:cNvCxnSpPr/>
      </xdr:nvCxnSpPr>
      <xdr:spPr>
        <a:xfrm flipH="1">
          <a:off x="5605463" y="3586162"/>
          <a:ext cx="2174080" cy="55245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148166</xdr:colOff>
      <xdr:row>22</xdr:row>
      <xdr:rowOff>84666</xdr:rowOff>
    </xdr:from>
    <xdr:to>
      <xdr:col>14</xdr:col>
      <xdr:colOff>249399</xdr:colOff>
      <xdr:row>29</xdr:row>
      <xdr:rowOff>67091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1254CC25-C742-4887-BE60-AAABEC8F8D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35491" y="4875741"/>
          <a:ext cx="3568333" cy="1382600"/>
        </a:xfrm>
        <a:prstGeom prst="rect">
          <a:avLst/>
        </a:prstGeom>
      </xdr:spPr>
    </xdr:pic>
    <xdr:clientData/>
  </xdr:twoCellAnchor>
  <xdr:twoCellAnchor>
    <xdr:from>
      <xdr:col>1</xdr:col>
      <xdr:colOff>154782</xdr:colOff>
      <xdr:row>15</xdr:row>
      <xdr:rowOff>19845</xdr:rowOff>
    </xdr:from>
    <xdr:to>
      <xdr:col>2</xdr:col>
      <xdr:colOff>952500</xdr:colOff>
      <xdr:row>18</xdr:row>
      <xdr:rowOff>142875</xdr:rowOff>
    </xdr:to>
    <xdr:cxnSp macro="">
      <xdr:nvCxnSpPr>
        <xdr:cNvPr id="5" name="Gerade Verbindung mit Pfeil 4">
          <a:extLst>
            <a:ext uri="{FF2B5EF4-FFF2-40B4-BE49-F238E27FC236}">
              <a16:creationId xmlns:a16="http://schemas.microsoft.com/office/drawing/2014/main" id="{CADD5A6E-AA2F-4835-B11E-8F0D622D2689}"/>
            </a:ext>
          </a:extLst>
        </xdr:cNvPr>
        <xdr:cNvCxnSpPr/>
      </xdr:nvCxnSpPr>
      <xdr:spPr>
        <a:xfrm flipH="1" flipV="1">
          <a:off x="2221707" y="3172620"/>
          <a:ext cx="3264693" cy="94218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1071563</xdr:colOff>
      <xdr:row>16</xdr:row>
      <xdr:rowOff>23812</xdr:rowOff>
    </xdr:from>
    <xdr:to>
      <xdr:col>4</xdr:col>
      <xdr:colOff>797718</xdr:colOff>
      <xdr:row>18</xdr:row>
      <xdr:rowOff>166687</xdr:rowOff>
    </xdr:to>
    <xdr:cxnSp macro="">
      <xdr:nvCxnSpPr>
        <xdr:cNvPr id="6" name="Gerade Verbindung mit Pfeil 5">
          <a:extLst>
            <a:ext uri="{FF2B5EF4-FFF2-40B4-BE49-F238E27FC236}">
              <a16:creationId xmlns:a16="http://schemas.microsoft.com/office/drawing/2014/main" id="{373572A2-E8CE-46FA-9D59-3D5F28CBB4EA}"/>
            </a:ext>
          </a:extLst>
        </xdr:cNvPr>
        <xdr:cNvCxnSpPr/>
      </xdr:nvCxnSpPr>
      <xdr:spPr>
        <a:xfrm flipH="1">
          <a:off x="5605463" y="3586162"/>
          <a:ext cx="2174080" cy="55245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154782</xdr:colOff>
      <xdr:row>15</xdr:row>
      <xdr:rowOff>19845</xdr:rowOff>
    </xdr:from>
    <xdr:to>
      <xdr:col>2</xdr:col>
      <xdr:colOff>952500</xdr:colOff>
      <xdr:row>18</xdr:row>
      <xdr:rowOff>142875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id="{C6B6F1B6-EEEB-4607-8D59-BF41638F0B65}"/>
            </a:ext>
          </a:extLst>
        </xdr:cNvPr>
        <xdr:cNvCxnSpPr/>
      </xdr:nvCxnSpPr>
      <xdr:spPr>
        <a:xfrm flipH="1" flipV="1">
          <a:off x="2221707" y="3172620"/>
          <a:ext cx="3264693" cy="94218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1071563</xdr:colOff>
      <xdr:row>16</xdr:row>
      <xdr:rowOff>23812</xdr:rowOff>
    </xdr:from>
    <xdr:to>
      <xdr:col>4</xdr:col>
      <xdr:colOff>797718</xdr:colOff>
      <xdr:row>18</xdr:row>
      <xdr:rowOff>166687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552F1424-A6F3-4F23-8A02-538287781B08}"/>
            </a:ext>
          </a:extLst>
        </xdr:cNvPr>
        <xdr:cNvCxnSpPr/>
      </xdr:nvCxnSpPr>
      <xdr:spPr>
        <a:xfrm flipH="1">
          <a:off x="5605463" y="3586162"/>
          <a:ext cx="2174080" cy="55245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148166</xdr:colOff>
      <xdr:row>22</xdr:row>
      <xdr:rowOff>84666</xdr:rowOff>
    </xdr:from>
    <xdr:to>
      <xdr:col>14</xdr:col>
      <xdr:colOff>249399</xdr:colOff>
      <xdr:row>29</xdr:row>
      <xdr:rowOff>67091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167B06B0-69CD-4B51-A333-8E6E13D779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922249" y="4910666"/>
          <a:ext cx="3572566" cy="1390008"/>
        </a:xfrm>
        <a:prstGeom prst="rect">
          <a:avLst/>
        </a:prstGeom>
      </xdr:spPr>
    </xdr:pic>
    <xdr:clientData/>
  </xdr:twoCellAnchor>
  <xdr:twoCellAnchor>
    <xdr:from>
      <xdr:col>1</xdr:col>
      <xdr:colOff>154782</xdr:colOff>
      <xdr:row>15</xdr:row>
      <xdr:rowOff>19845</xdr:rowOff>
    </xdr:from>
    <xdr:to>
      <xdr:col>2</xdr:col>
      <xdr:colOff>952500</xdr:colOff>
      <xdr:row>18</xdr:row>
      <xdr:rowOff>142875</xdr:rowOff>
    </xdr:to>
    <xdr:cxnSp macro="">
      <xdr:nvCxnSpPr>
        <xdr:cNvPr id="7" name="Gerade Verbindung mit Pfeil 6">
          <a:extLst>
            <a:ext uri="{FF2B5EF4-FFF2-40B4-BE49-F238E27FC236}">
              <a16:creationId xmlns:a16="http://schemas.microsoft.com/office/drawing/2014/main" id="{B64F8F87-5FE7-4C4D-9292-A2C4C6244D98}"/>
            </a:ext>
          </a:extLst>
        </xdr:cNvPr>
        <xdr:cNvCxnSpPr/>
      </xdr:nvCxnSpPr>
      <xdr:spPr>
        <a:xfrm flipH="1" flipV="1">
          <a:off x="2221707" y="3172620"/>
          <a:ext cx="3264693" cy="94218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1071563</xdr:colOff>
      <xdr:row>16</xdr:row>
      <xdr:rowOff>23812</xdr:rowOff>
    </xdr:from>
    <xdr:to>
      <xdr:col>4</xdr:col>
      <xdr:colOff>797718</xdr:colOff>
      <xdr:row>18</xdr:row>
      <xdr:rowOff>166687</xdr:rowOff>
    </xdr:to>
    <xdr:cxnSp macro="">
      <xdr:nvCxnSpPr>
        <xdr:cNvPr id="8" name="Gerade Verbindung mit Pfeil 7">
          <a:extLst>
            <a:ext uri="{FF2B5EF4-FFF2-40B4-BE49-F238E27FC236}">
              <a16:creationId xmlns:a16="http://schemas.microsoft.com/office/drawing/2014/main" id="{D195896F-A3C7-4B6C-AE90-A88DF70D08E8}"/>
            </a:ext>
          </a:extLst>
        </xdr:cNvPr>
        <xdr:cNvCxnSpPr/>
      </xdr:nvCxnSpPr>
      <xdr:spPr>
        <a:xfrm flipH="1">
          <a:off x="5605463" y="3586162"/>
          <a:ext cx="2174080" cy="55245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74"/>
  <sheetViews>
    <sheetView topLeftCell="A28" zoomScale="90" zoomScaleNormal="90" workbookViewId="0">
      <selection activeCell="C52" sqref="C52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3" width="16" style="1" bestFit="1" customWidth="1"/>
    <col min="4" max="4" width="16.125" style="1" customWidth="1"/>
    <col min="5" max="5" width="14.125" style="1" customWidth="1"/>
    <col min="6" max="6" width="13.625" style="1" customWidth="1"/>
    <col min="7" max="7" width="14.875" style="1" customWidth="1"/>
    <col min="8" max="8" width="12.125" style="1" customWidth="1"/>
    <col min="9" max="15" width="11.375" style="1" bestFit="1" customWidth="1"/>
    <col min="16" max="16" width="12.125" style="1" bestFit="1" customWidth="1"/>
    <col min="17" max="18" width="10.625" style="1" customWidth="1"/>
    <col min="19" max="16384" width="10.625" style="1"/>
  </cols>
  <sheetData>
    <row r="2" spans="1:28" ht="26.25" x14ac:dyDescent="0.4">
      <c r="B2" s="34" t="s">
        <v>10</v>
      </c>
    </row>
    <row r="4" spans="1:28" x14ac:dyDescent="0.25">
      <c r="B4" s="24" t="s">
        <v>45</v>
      </c>
      <c r="L4" s="28"/>
      <c r="M4" s="28"/>
      <c r="N4" s="28"/>
      <c r="O4" s="28"/>
      <c r="P4" s="28"/>
      <c r="Q4" s="28"/>
      <c r="R4" s="28"/>
      <c r="S4" s="28"/>
    </row>
    <row r="5" spans="1:28" x14ac:dyDescent="0.25">
      <c r="L5" s="28"/>
      <c r="M5" s="28"/>
      <c r="N5" s="28"/>
      <c r="O5" s="28"/>
      <c r="P5" s="28"/>
      <c r="Q5" s="28"/>
      <c r="R5" s="28"/>
      <c r="S5" s="28"/>
    </row>
    <row r="6" spans="1:28" x14ac:dyDescent="0.25">
      <c r="B6" s="1" t="s">
        <v>40</v>
      </c>
      <c r="L6" s="28"/>
      <c r="M6" s="28"/>
      <c r="N6" s="28"/>
      <c r="O6" s="28"/>
      <c r="P6" s="28"/>
      <c r="Q6" s="28"/>
      <c r="R6" s="28"/>
      <c r="S6" s="28"/>
    </row>
    <row r="9" spans="1:28" s="8" customFormat="1" x14ac:dyDescent="0.25">
      <c r="H9" s="9" t="s">
        <v>9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5">
      <c r="A10" s="4"/>
      <c r="B10" s="4"/>
      <c r="C10" s="11">
        <v>2017</v>
      </c>
      <c r="D10" s="11">
        <v>2018</v>
      </c>
      <c r="E10" s="11">
        <v>2019</v>
      </c>
      <c r="F10" s="11">
        <v>2020</v>
      </c>
      <c r="G10" s="11">
        <v>2021</v>
      </c>
      <c r="H10" s="61">
        <v>2022</v>
      </c>
      <c r="I10" s="61">
        <v>2023</v>
      </c>
      <c r="J10" s="61">
        <v>2024</v>
      </c>
      <c r="K10" s="61">
        <v>2025</v>
      </c>
      <c r="L10" s="61">
        <v>2026</v>
      </c>
      <c r="M10" s="61">
        <v>2027</v>
      </c>
      <c r="N10" s="61">
        <v>2028</v>
      </c>
      <c r="O10" s="61">
        <v>2029</v>
      </c>
      <c r="P10" s="61">
        <v>2030</v>
      </c>
      <c r="Q10" s="61">
        <v>2031</v>
      </c>
      <c r="R10" s="60" t="s">
        <v>30</v>
      </c>
    </row>
    <row r="11" spans="1:28" x14ac:dyDescent="0.25">
      <c r="A11" s="5"/>
      <c r="B11" s="4" t="s">
        <v>4</v>
      </c>
      <c r="C11" s="97">
        <v>4854.8999999999996</v>
      </c>
      <c r="D11" s="97">
        <v>5372.6</v>
      </c>
      <c r="E11" s="97">
        <v>5617.9</v>
      </c>
      <c r="F11" s="97">
        <v>6206.7</v>
      </c>
      <c r="G11" s="97">
        <v>7671.9</v>
      </c>
      <c r="H11" s="83">
        <v>7782.87</v>
      </c>
      <c r="I11" s="83">
        <v>8093.99</v>
      </c>
      <c r="J11" s="83">
        <v>8653.24</v>
      </c>
      <c r="K11" s="83">
        <f t="shared" ref="K11:R11" si="0">J11*(1+K12)</f>
        <v>9085.902</v>
      </c>
      <c r="L11" s="83">
        <f t="shared" si="0"/>
        <v>8813.3249400000004</v>
      </c>
      <c r="M11" s="83">
        <f t="shared" si="0"/>
        <v>8725.1916906000006</v>
      </c>
      <c r="N11" s="83">
        <f t="shared" si="0"/>
        <v>8637.9397736940009</v>
      </c>
      <c r="O11" s="83">
        <f t="shared" si="0"/>
        <v>8551.5603759570604</v>
      </c>
      <c r="P11" s="83">
        <f t="shared" si="0"/>
        <v>8380.529168437919</v>
      </c>
      <c r="Q11" s="83">
        <f t="shared" si="0"/>
        <v>8380.529168437919</v>
      </c>
      <c r="R11" s="83">
        <f t="shared" si="0"/>
        <v>8380.529168437919</v>
      </c>
    </row>
    <row r="12" spans="1:28" x14ac:dyDescent="0.25">
      <c r="A12" s="5"/>
      <c r="B12" s="4" t="s">
        <v>1</v>
      </c>
      <c r="C12" s="98"/>
      <c r="D12" s="98">
        <f t="shared" ref="D12:J12" si="1">D11/C11-1</f>
        <v>0.10663453418196056</v>
      </c>
      <c r="E12" s="98">
        <f t="shared" si="1"/>
        <v>4.565759594981933E-2</v>
      </c>
      <c r="F12" s="98">
        <f t="shared" si="1"/>
        <v>0.10480784634827955</v>
      </c>
      <c r="G12" s="98">
        <f t="shared" si="1"/>
        <v>0.23606747547005646</v>
      </c>
      <c r="H12" s="94">
        <f t="shared" si="1"/>
        <v>1.4464474250185821E-2</v>
      </c>
      <c r="I12" s="94">
        <f t="shared" si="1"/>
        <v>3.9974970672772336E-2</v>
      </c>
      <c r="J12" s="94">
        <f t="shared" si="1"/>
        <v>6.9094476271900573E-2</v>
      </c>
      <c r="K12" s="94">
        <v>0.05</v>
      </c>
      <c r="L12" s="62">
        <v>-0.03</v>
      </c>
      <c r="M12" s="62">
        <v>-0.01</v>
      </c>
      <c r="N12" s="62">
        <v>-0.01</v>
      </c>
      <c r="O12" s="62">
        <v>-0.01</v>
      </c>
      <c r="P12" s="62">
        <v>-0.02</v>
      </c>
      <c r="Q12" s="62">
        <v>0</v>
      </c>
      <c r="R12" s="13">
        <v>0</v>
      </c>
    </row>
    <row r="13" spans="1:28" ht="15.95" customHeight="1" x14ac:dyDescent="0.25">
      <c r="A13" s="5"/>
      <c r="B13" s="4" t="s">
        <v>15</v>
      </c>
      <c r="C13" s="98">
        <f>C14/C11</f>
        <v>0.43436528043832012</v>
      </c>
      <c r="D13" s="98">
        <f>D14/D11</f>
        <v>0.439526486245021</v>
      </c>
      <c r="E13" s="98">
        <f>E14/E11</f>
        <v>0.42489186350771646</v>
      </c>
      <c r="F13" s="98">
        <f>F14/F11</f>
        <v>0.44237678637601302</v>
      </c>
      <c r="G13" s="98">
        <f>G14/G11</f>
        <v>0.48358294555455628</v>
      </c>
      <c r="H13" s="82">
        <v>0.45019999999999999</v>
      </c>
      <c r="I13" s="82">
        <v>0.44469999999999998</v>
      </c>
      <c r="J13" s="82">
        <v>0.4284</v>
      </c>
      <c r="K13" s="82">
        <v>0.42499999999999999</v>
      </c>
      <c r="L13" s="82">
        <v>0.42499999999999999</v>
      </c>
      <c r="M13" s="82">
        <v>0.42499999999999999</v>
      </c>
      <c r="N13" s="82">
        <v>0.42</v>
      </c>
      <c r="O13" s="82">
        <v>0.41499999999999998</v>
      </c>
      <c r="P13" s="82">
        <v>0.41499999999999998</v>
      </c>
      <c r="Q13" s="82">
        <v>0.41499999999999998</v>
      </c>
      <c r="R13" s="82">
        <v>0.41499999999999998</v>
      </c>
    </row>
    <row r="14" spans="1:28" ht="17.100000000000001" customHeight="1" x14ac:dyDescent="0.25">
      <c r="A14" s="5"/>
      <c r="B14" s="4" t="s">
        <v>16</v>
      </c>
      <c r="C14" s="97">
        <v>2108.8000000000002</v>
      </c>
      <c r="D14" s="97">
        <v>2361.4</v>
      </c>
      <c r="E14" s="97">
        <v>2387</v>
      </c>
      <c r="F14" s="97">
        <v>2745.7</v>
      </c>
      <c r="G14" s="97">
        <v>3710</v>
      </c>
      <c r="H14" s="83">
        <f t="shared" ref="H14:R14" si="2">H11*H13</f>
        <v>3503.848074</v>
      </c>
      <c r="I14" s="83">
        <f t="shared" si="2"/>
        <v>3599.3973529999998</v>
      </c>
      <c r="J14" s="83">
        <f t="shared" si="2"/>
        <v>3707.0480159999997</v>
      </c>
      <c r="K14" s="83">
        <f t="shared" si="2"/>
        <v>3861.5083500000001</v>
      </c>
      <c r="L14" s="83">
        <f t="shared" si="2"/>
        <v>3745.6630995</v>
      </c>
      <c r="M14" s="83">
        <f t="shared" si="2"/>
        <v>3708.206468505</v>
      </c>
      <c r="N14" s="83">
        <f t="shared" si="2"/>
        <v>3627.9347049514804</v>
      </c>
      <c r="O14" s="83">
        <f t="shared" si="2"/>
        <v>3548.8975560221797</v>
      </c>
      <c r="P14" s="83">
        <f t="shared" si="2"/>
        <v>3477.9196049017364</v>
      </c>
      <c r="Q14" s="83">
        <f t="shared" si="2"/>
        <v>3477.9196049017364</v>
      </c>
      <c r="R14" s="83">
        <f t="shared" si="2"/>
        <v>3477.9196049017364</v>
      </c>
    </row>
    <row r="15" spans="1:28" ht="16.5" thickBot="1" x14ac:dyDescent="0.3">
      <c r="A15" s="12">
        <v>0.2</v>
      </c>
      <c r="B15" s="4" t="s">
        <v>29</v>
      </c>
      <c r="C15" s="97">
        <v>1497.8</v>
      </c>
      <c r="D15" s="97">
        <v>1837.5</v>
      </c>
      <c r="E15" s="97">
        <v>2131.3000000000002</v>
      </c>
      <c r="F15" s="97">
        <v>2372.6999999999998</v>
      </c>
      <c r="G15" s="97">
        <v>3082.9</v>
      </c>
      <c r="H15" s="83">
        <f>H11*0.3544</f>
        <v>2758.2491279999999</v>
      </c>
      <c r="I15" s="83">
        <f>I11*0.3535</f>
        <v>2861.225465</v>
      </c>
      <c r="J15" s="83">
        <f>J11*0.332</f>
        <v>2872.8756800000001</v>
      </c>
      <c r="K15" s="83">
        <f t="shared" ref="K15:Q15" si="3">K14*(1-$A$15)</f>
        <v>3089.2066800000002</v>
      </c>
      <c r="L15" s="83">
        <f t="shared" si="3"/>
        <v>2996.5304796</v>
      </c>
      <c r="M15" s="83">
        <f t="shared" si="3"/>
        <v>2966.565174804</v>
      </c>
      <c r="N15" s="83">
        <f t="shared" si="3"/>
        <v>2902.3477639611847</v>
      </c>
      <c r="O15" s="83">
        <f t="shared" si="3"/>
        <v>2839.1180448177438</v>
      </c>
      <c r="P15" s="83">
        <f t="shared" si="3"/>
        <v>2782.3356839213893</v>
      </c>
      <c r="Q15" s="83">
        <f t="shared" si="3"/>
        <v>2782.3356839213893</v>
      </c>
      <c r="R15" s="83">
        <f>R14*(1-$A$15)</f>
        <v>2782.3356839213893</v>
      </c>
    </row>
    <row r="16" spans="1:28" ht="32.25" thickBot="1" x14ac:dyDescent="0.3">
      <c r="A16" s="14" t="s">
        <v>6</v>
      </c>
      <c r="B16" s="15"/>
      <c r="C16" s="16">
        <f t="shared" ref="C16:K16" si="4">C15/C14</f>
        <v>0.71026176024279197</v>
      </c>
      <c r="D16" s="16">
        <f t="shared" si="4"/>
        <v>0.77814008638943</v>
      </c>
      <c r="E16" s="16">
        <f t="shared" si="4"/>
        <v>0.89287808965228332</v>
      </c>
      <c r="F16" s="16">
        <f t="shared" si="4"/>
        <v>0.86415121826856534</v>
      </c>
      <c r="G16" s="16">
        <f t="shared" si="4"/>
        <v>0.83097035040431266</v>
      </c>
      <c r="H16" s="16">
        <f t="shared" si="4"/>
        <v>0.78720568636161703</v>
      </c>
      <c r="I16" s="16">
        <f t="shared" si="4"/>
        <v>0.794917922194738</v>
      </c>
      <c r="J16" s="16">
        <f t="shared" si="4"/>
        <v>0.77497665732959864</v>
      </c>
      <c r="K16" s="16">
        <f t="shared" si="4"/>
        <v>0.8</v>
      </c>
    </row>
    <row r="17" spans="1:18" x14ac:dyDescent="0.25">
      <c r="A17" s="2"/>
      <c r="G17" s="6"/>
      <c r="H17" s="6"/>
      <c r="I17" s="6"/>
      <c r="J17" s="6"/>
      <c r="K17" s="6"/>
      <c r="L17" s="95"/>
      <c r="M17" s="95"/>
      <c r="N17" s="95"/>
      <c r="O17" s="95"/>
      <c r="P17" s="95"/>
      <c r="Q17" s="95"/>
      <c r="R17" s="3"/>
    </row>
    <row r="18" spans="1:18" ht="16.5" thickBot="1" x14ac:dyDescent="0.3">
      <c r="A18" s="2"/>
      <c r="G18" s="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3"/>
    </row>
    <row r="19" spans="1:18" ht="16.5" thickBot="1" x14ac:dyDescent="0.3">
      <c r="A19" s="2"/>
      <c r="F19" s="56" t="s">
        <v>12</v>
      </c>
      <c r="G19" s="57"/>
      <c r="H19" s="58">
        <f>H15/(1+$C$55)</f>
        <v>2552.9888263606072</v>
      </c>
      <c r="I19" s="58">
        <f>I15/(1+$C$55)^2</f>
        <v>2451.2236073452304</v>
      </c>
      <c r="J19" s="58">
        <f>J15/(1+$C$55)^3</f>
        <v>2278.0492358246024</v>
      </c>
      <c r="K19" s="58">
        <f>K15/(1+$C$55)^4</f>
        <v>2267.2983042575243</v>
      </c>
      <c r="L19" s="58">
        <f>L15/(1+$C$55)^5</f>
        <v>2035.6158414751926</v>
      </c>
      <c r="M19" s="58">
        <f>M15/(1+$C$55)^6</f>
        <v>1865.290339744947</v>
      </c>
      <c r="N19" s="58">
        <f>N15/(1+$C$55)^7</f>
        <v>1689.1080063286997</v>
      </c>
      <c r="O19" s="58">
        <f>O15/(1+$C$55)^8</f>
        <v>1529.3498536700388</v>
      </c>
      <c r="P19" s="58">
        <f>P15/(1+$C$55)^9</f>
        <v>1387.2295969979991</v>
      </c>
      <c r="Q19" s="58">
        <f>Q15/(1+$C$55)^10</f>
        <v>1283.9962948889292</v>
      </c>
      <c r="R19" s="59">
        <f>(R15/(C55-R12))/(1+C55)^10</f>
        <v>15970.103170260316</v>
      </c>
    </row>
    <row r="20" spans="1:18" x14ac:dyDescent="0.25">
      <c r="A20" s="2"/>
      <c r="C20" s="86"/>
      <c r="G20" s="6"/>
      <c r="H20" s="7"/>
      <c r="I20" s="6"/>
      <c r="J20" s="6"/>
      <c r="K20" s="6"/>
      <c r="L20" s="6"/>
      <c r="M20" s="6"/>
      <c r="N20" s="6"/>
      <c r="O20" s="6"/>
      <c r="P20" s="3"/>
      <c r="Q20" s="3"/>
      <c r="R20" s="3"/>
    </row>
    <row r="21" spans="1:18" x14ac:dyDescent="0.25">
      <c r="A21" s="2"/>
      <c r="P21" s="3"/>
      <c r="Q21" s="3"/>
      <c r="R21" s="3"/>
    </row>
    <row r="22" spans="1:18" ht="16.5" thickBot="1" x14ac:dyDescent="0.3">
      <c r="P22" s="3"/>
      <c r="Q22" s="3"/>
      <c r="R22" s="3"/>
    </row>
    <row r="23" spans="1:18" x14ac:dyDescent="0.25">
      <c r="A23" s="35" t="s">
        <v>31</v>
      </c>
      <c r="B23" s="36"/>
      <c r="C23" s="36"/>
      <c r="D23" s="37"/>
      <c r="E23" s="25"/>
      <c r="F23" s="36"/>
      <c r="G23" s="66" t="s">
        <v>32</v>
      </c>
      <c r="H23" s="25"/>
      <c r="I23" s="90">
        <v>5.0000000000000001E-3</v>
      </c>
      <c r="J23" s="26" t="s">
        <v>33</v>
      </c>
    </row>
    <row r="24" spans="1:18" x14ac:dyDescent="0.25">
      <c r="A24" s="38"/>
      <c r="B24" s="39"/>
      <c r="C24" s="39"/>
      <c r="D24" s="40"/>
      <c r="E24" s="39"/>
      <c r="F24" s="39"/>
      <c r="G24" s="27"/>
      <c r="H24" s="28"/>
      <c r="I24" s="91"/>
      <c r="J24" s="29"/>
    </row>
    <row r="25" spans="1:18" x14ac:dyDescent="0.25">
      <c r="A25" s="38"/>
      <c r="B25" s="39"/>
      <c r="C25" s="39"/>
      <c r="D25" s="41"/>
      <c r="E25" s="28"/>
      <c r="F25" s="39"/>
      <c r="G25" s="27" t="s">
        <v>34</v>
      </c>
      <c r="H25" s="28"/>
      <c r="I25" s="92">
        <f>(I27-I23)*I29</f>
        <v>7.5399999999999995E-2</v>
      </c>
      <c r="J25" s="29"/>
    </row>
    <row r="26" spans="1:18" x14ac:dyDescent="0.25">
      <c r="A26" s="38"/>
      <c r="B26" s="39"/>
      <c r="C26" s="39"/>
      <c r="D26" s="41"/>
      <c r="E26" s="28"/>
      <c r="F26" s="39"/>
      <c r="G26" s="27"/>
      <c r="H26" s="28"/>
      <c r="I26" s="91"/>
      <c r="J26" s="29"/>
    </row>
    <row r="27" spans="1:18" x14ac:dyDescent="0.25">
      <c r="A27" s="38"/>
      <c r="B27" s="39"/>
      <c r="C27" s="39"/>
      <c r="D27" s="41"/>
      <c r="E27" s="28"/>
      <c r="F27" s="39"/>
      <c r="G27" s="27" t="s">
        <v>35</v>
      </c>
      <c r="H27" s="28"/>
      <c r="I27" s="93">
        <v>7.0000000000000007E-2</v>
      </c>
      <c r="J27" s="29" t="s">
        <v>36</v>
      </c>
    </row>
    <row r="28" spans="1:18" x14ac:dyDescent="0.25">
      <c r="A28" s="38"/>
      <c r="B28" s="39"/>
      <c r="C28" s="39"/>
      <c r="D28" s="42"/>
      <c r="E28" s="28"/>
      <c r="F28" s="39"/>
      <c r="G28" s="27"/>
      <c r="H28" s="28"/>
      <c r="I28" s="91"/>
      <c r="J28" s="29"/>
    </row>
    <row r="29" spans="1:18" x14ac:dyDescent="0.25">
      <c r="A29" s="38"/>
      <c r="B29" s="39"/>
      <c r="C29" s="39"/>
      <c r="D29" s="42"/>
      <c r="E29" s="28"/>
      <c r="F29" s="39"/>
      <c r="G29" s="27" t="s">
        <v>43</v>
      </c>
      <c r="H29" s="28"/>
      <c r="I29" s="91">
        <v>1.1599999999999999</v>
      </c>
      <c r="J29" s="29" t="s">
        <v>37</v>
      </c>
    </row>
    <row r="30" spans="1:18" x14ac:dyDescent="0.25">
      <c r="A30" s="38"/>
      <c r="B30" s="39"/>
      <c r="C30" s="39"/>
      <c r="D30" s="43"/>
      <c r="E30" s="28"/>
      <c r="F30" s="39"/>
      <c r="G30" s="27"/>
      <c r="H30" s="28"/>
      <c r="I30" s="91"/>
      <c r="J30" s="29"/>
    </row>
    <row r="31" spans="1:18" x14ac:dyDescent="0.25">
      <c r="A31" s="38"/>
      <c r="B31" s="39"/>
      <c r="C31" s="39"/>
      <c r="D31" s="40"/>
      <c r="E31" s="28"/>
      <c r="F31" s="39"/>
      <c r="G31" s="27" t="s">
        <v>38</v>
      </c>
      <c r="H31" s="28"/>
      <c r="I31" s="93">
        <f>I23+(I27-I23)*I29</f>
        <v>8.0399999999999999E-2</v>
      </c>
      <c r="J31" s="29" t="s">
        <v>39</v>
      </c>
    </row>
    <row r="32" spans="1:18" x14ac:dyDescent="0.25">
      <c r="A32" s="27"/>
      <c r="B32" s="28"/>
      <c r="C32" s="44"/>
      <c r="D32" s="28"/>
      <c r="E32" s="39"/>
      <c r="F32" s="39"/>
      <c r="G32" s="27"/>
      <c r="H32" s="28"/>
      <c r="I32" s="28"/>
      <c r="J32" s="29"/>
    </row>
    <row r="33" spans="1:10" x14ac:dyDescent="0.25">
      <c r="A33" s="27"/>
      <c r="B33" s="28"/>
      <c r="C33" s="28"/>
      <c r="D33" s="28"/>
      <c r="E33" s="28"/>
      <c r="F33" s="28"/>
      <c r="G33" s="87" t="s">
        <v>41</v>
      </c>
      <c r="H33" s="88"/>
      <c r="I33" s="89">
        <f>I31</f>
        <v>8.0399999999999999E-2</v>
      </c>
      <c r="J33" s="29"/>
    </row>
    <row r="34" spans="1:10" x14ac:dyDescent="0.25">
      <c r="A34" s="38" t="s">
        <v>7</v>
      </c>
      <c r="B34" s="39"/>
      <c r="C34" s="45"/>
      <c r="D34" s="30"/>
      <c r="E34" s="28"/>
      <c r="F34" s="28"/>
      <c r="G34" s="27"/>
      <c r="H34" s="28"/>
      <c r="I34" s="28"/>
      <c r="J34" s="29"/>
    </row>
    <row r="35" spans="1:10" ht="15.75" hidden="1" customHeight="1" x14ac:dyDescent="0.25">
      <c r="A35" s="27"/>
      <c r="B35" s="28"/>
      <c r="C35" s="28"/>
      <c r="D35" s="28"/>
      <c r="E35" s="28"/>
      <c r="F35" s="28"/>
      <c r="G35" s="27"/>
      <c r="H35" s="28"/>
      <c r="I35" s="28"/>
      <c r="J35" s="29"/>
    </row>
    <row r="36" spans="1:10" ht="15.75" hidden="1" customHeight="1" x14ac:dyDescent="0.25">
      <c r="A36" s="27"/>
      <c r="B36" s="28" t="s">
        <v>8</v>
      </c>
      <c r="C36" s="28"/>
      <c r="D36" s="46">
        <v>0.08</v>
      </c>
      <c r="E36" s="28"/>
      <c r="F36" s="28"/>
      <c r="G36" s="27"/>
      <c r="H36" s="28"/>
      <c r="I36" s="28"/>
      <c r="J36" s="29"/>
    </row>
    <row r="37" spans="1:10" ht="15.75" hidden="1" customHeight="1" x14ac:dyDescent="0.25">
      <c r="A37" s="27"/>
      <c r="B37" s="28"/>
      <c r="C37" s="28"/>
      <c r="D37" s="28"/>
      <c r="E37" s="28"/>
      <c r="F37" s="28"/>
      <c r="G37" s="27"/>
      <c r="H37" s="28"/>
      <c r="I37" s="28"/>
      <c r="J37" s="29"/>
    </row>
    <row r="38" spans="1:10" ht="15.75" hidden="1" customHeight="1" x14ac:dyDescent="0.25">
      <c r="A38" s="27"/>
      <c r="B38" s="28"/>
      <c r="C38" s="28"/>
      <c r="D38" s="28"/>
      <c r="E38" s="28"/>
      <c r="F38" s="28"/>
      <c r="G38" s="27"/>
      <c r="H38" s="28"/>
      <c r="I38" s="28"/>
      <c r="J38" s="29"/>
    </row>
    <row r="39" spans="1:10" ht="15.75" hidden="1" customHeight="1" x14ac:dyDescent="0.25">
      <c r="A39" s="27"/>
      <c r="B39" s="28"/>
      <c r="C39" s="28"/>
      <c r="D39" s="28"/>
      <c r="E39" s="28"/>
      <c r="F39" s="28"/>
      <c r="G39" s="27"/>
      <c r="H39" s="28"/>
      <c r="I39" s="28"/>
      <c r="J39" s="29"/>
    </row>
    <row r="40" spans="1:10" hidden="1" x14ac:dyDescent="0.25">
      <c r="A40" s="27"/>
      <c r="B40" s="47"/>
      <c r="C40" s="47">
        <v>0.12</v>
      </c>
      <c r="D40" s="47" t="e">
        <f>((NPV(C40,$H$15:$R$15)+(#REF!*(1+#REF!)/(C40-#REF!))/(1+C40)^(2040-2020))/$D$50)/$C$51-1</f>
        <v>#REF!</v>
      </c>
      <c r="E40" s="28"/>
      <c r="F40" s="28"/>
      <c r="G40" s="27"/>
      <c r="H40" s="28"/>
      <c r="I40" s="28"/>
      <c r="J40" s="29"/>
    </row>
    <row r="41" spans="1:10" hidden="1" x14ac:dyDescent="0.25">
      <c r="A41" s="27"/>
      <c r="B41" s="47"/>
      <c r="C41" s="47">
        <v>0.14000000000000001</v>
      </c>
      <c r="D41" s="47" t="e">
        <f>((NPV(C41,$H$15:$R$15)+(#REF!*(1+#REF!)/(C41-#REF!))/(1+C41)^(2040-2020))/$D$50)/$C$51-1</f>
        <v>#REF!</v>
      </c>
      <c r="E41" s="28"/>
      <c r="F41" s="28"/>
      <c r="G41" s="27"/>
      <c r="H41" s="28"/>
      <c r="I41" s="28"/>
      <c r="J41" s="29"/>
    </row>
    <row r="42" spans="1:10" hidden="1" x14ac:dyDescent="0.25">
      <c r="A42" s="27"/>
      <c r="B42" s="47"/>
      <c r="C42" s="47">
        <v>0.16</v>
      </c>
      <c r="D42" s="47" t="e">
        <f>((NPV(C42,$H$15:$R$15)+(#REF!*(1+#REF!)/(C42-#REF!))/(1+C42)^(2040-2020))/$D$50)/$C$51-1</f>
        <v>#REF!</v>
      </c>
      <c r="E42" s="28"/>
      <c r="F42" s="28"/>
      <c r="G42" s="27"/>
      <c r="H42" s="28"/>
      <c r="I42" s="28"/>
      <c r="J42" s="29"/>
    </row>
    <row r="43" spans="1:10" hidden="1" x14ac:dyDescent="0.25">
      <c r="A43" s="27"/>
      <c r="B43" s="47"/>
      <c r="C43" s="47">
        <v>0.18</v>
      </c>
      <c r="D43" s="47" t="e">
        <f>((NPV(C43,$H$15:$R$15)+(#REF!*(1+#REF!)/(C43-#REF!))/(1+C43)^(2040-2020))/$D$50)/$C$51-1</f>
        <v>#REF!</v>
      </c>
      <c r="E43" s="28"/>
      <c r="F43" s="28"/>
      <c r="G43" s="27"/>
      <c r="H43" s="28"/>
      <c r="I43" s="28"/>
      <c r="J43" s="29"/>
    </row>
    <row r="44" spans="1:10" hidden="1" x14ac:dyDescent="0.25">
      <c r="A44" s="27"/>
      <c r="B44" s="47"/>
      <c r="C44" s="47">
        <v>0.2</v>
      </c>
      <c r="D44" s="47" t="e">
        <f>((NPV(C44,$H$15:$R$15)+(#REF!*(1+#REF!)/(C44-#REF!))/(1+C44)^(2040-2020))/$D$50)/$C$51-1</f>
        <v>#REF!</v>
      </c>
      <c r="E44" s="28"/>
      <c r="F44" s="28"/>
      <c r="G44" s="27"/>
      <c r="H44" s="28"/>
      <c r="I44" s="28"/>
      <c r="J44" s="29"/>
    </row>
    <row r="45" spans="1:10" x14ac:dyDescent="0.25">
      <c r="A45" s="27"/>
      <c r="B45" s="28"/>
      <c r="C45" s="28"/>
      <c r="D45" s="28"/>
      <c r="E45" s="28"/>
      <c r="F45" s="28"/>
      <c r="G45" s="27"/>
      <c r="H45" s="28"/>
      <c r="I45" s="28"/>
      <c r="J45" s="29"/>
    </row>
    <row r="46" spans="1:10" ht="16.5" thickBot="1" x14ac:dyDescent="0.3">
      <c r="A46" s="31"/>
      <c r="B46" s="32" t="s">
        <v>25</v>
      </c>
      <c r="C46" s="32"/>
      <c r="D46" s="48">
        <f>I33</f>
        <v>8.0399999999999999E-2</v>
      </c>
      <c r="E46" s="32"/>
      <c r="F46" s="32"/>
      <c r="G46" s="31"/>
      <c r="H46" s="32"/>
      <c r="I46" s="32"/>
      <c r="J46" s="33"/>
    </row>
    <row r="48" spans="1:10" x14ac:dyDescent="0.25">
      <c r="A48" s="17"/>
      <c r="B48" s="18"/>
      <c r="C48" s="19">
        <v>44659</v>
      </c>
      <c r="D48" s="20" t="s">
        <v>3</v>
      </c>
      <c r="E48" s="21"/>
      <c r="F48" s="22"/>
      <c r="G48" s="23"/>
      <c r="H48" s="23"/>
      <c r="I48" s="23"/>
    </row>
    <row r="49" spans="1:17" x14ac:dyDescent="0.25">
      <c r="A49" s="49" t="s">
        <v>0</v>
      </c>
      <c r="B49" s="50" t="s">
        <v>5</v>
      </c>
      <c r="C49" s="81">
        <f>C50*C51</f>
        <v>33324.046800000004</v>
      </c>
      <c r="D49" s="52">
        <f>SUM(H19:R19)</f>
        <v>35310.253077154084</v>
      </c>
      <c r="E49" s="50" t="s">
        <v>42</v>
      </c>
    </row>
    <row r="50" spans="1:17" x14ac:dyDescent="0.25">
      <c r="A50" s="49"/>
      <c r="B50" s="50" t="s">
        <v>11</v>
      </c>
      <c r="C50" s="51">
        <v>227.81</v>
      </c>
      <c r="D50" s="51">
        <f>C50</f>
        <v>227.81</v>
      </c>
      <c r="E50" s="50"/>
    </row>
    <row r="51" spans="1:17" x14ac:dyDescent="0.25">
      <c r="A51" s="49"/>
      <c r="B51" s="50" t="s">
        <v>13</v>
      </c>
      <c r="C51" s="63">
        <v>146.28</v>
      </c>
      <c r="D51" s="63">
        <f>D49/(D50)</f>
        <v>154.99869662066672</v>
      </c>
      <c r="E51" s="50" t="s">
        <v>42</v>
      </c>
    </row>
    <row r="52" spans="1:17" x14ac:dyDescent="0.25">
      <c r="A52" s="49"/>
      <c r="B52" s="50" t="s">
        <v>2</v>
      </c>
      <c r="C52" s="50"/>
      <c r="D52" s="64">
        <f>IF(C51/D51-1&gt;0,0,C51/D51-1)*-1</f>
        <v>5.6250128618850703E-2</v>
      </c>
      <c r="E52" s="50"/>
    </row>
    <row r="53" spans="1:17" x14ac:dyDescent="0.25">
      <c r="A53" s="49"/>
      <c r="B53" s="50" t="s">
        <v>14</v>
      </c>
      <c r="C53" s="50"/>
      <c r="D53" s="65">
        <f>IF(C51/D51-1&lt;0,0,C51/D51-1)</f>
        <v>0</v>
      </c>
      <c r="E53" s="50"/>
    </row>
    <row r="54" spans="1:17" x14ac:dyDescent="0.25">
      <c r="A54" s="50"/>
      <c r="B54" s="50"/>
      <c r="C54" s="50"/>
      <c r="D54" s="53"/>
      <c r="E54" s="53"/>
    </row>
    <row r="55" spans="1:17" x14ac:dyDescent="0.25">
      <c r="A55" s="53" t="s">
        <v>24</v>
      </c>
      <c r="B55" s="50"/>
      <c r="C55" s="55">
        <f>D46</f>
        <v>8.0399999999999999E-2</v>
      </c>
      <c r="D55" s="54"/>
      <c r="E55" s="50"/>
      <c r="J55" s="80"/>
    </row>
    <row r="56" spans="1:17" x14ac:dyDescent="0.25">
      <c r="A56" s="53"/>
      <c r="B56" s="50"/>
      <c r="C56" s="55"/>
      <c r="D56" s="54"/>
      <c r="E56" s="50"/>
    </row>
    <row r="57" spans="1:17" hidden="1" x14ac:dyDescent="0.25">
      <c r="A57" s="53" t="s">
        <v>27</v>
      </c>
      <c r="B57" s="84">
        <v>0.108</v>
      </c>
      <c r="C57" s="55"/>
      <c r="D57" s="85">
        <f>SUM(H57:Q57)*1000</f>
        <v>25388701.79662355</v>
      </c>
      <c r="E57" s="50"/>
      <c r="F57" s="1" t="s">
        <v>28</v>
      </c>
      <c r="H57" s="1">
        <f>H15/(1+$B$57)</f>
        <v>2489.3945198555953</v>
      </c>
      <c r="I57" s="1">
        <f>I15/(1+$B$57)^2</f>
        <v>2330.6258593556536</v>
      </c>
      <c r="J57" s="1">
        <f>J15/(1+$B$57)^3</f>
        <v>2112.017691031584</v>
      </c>
      <c r="K57" s="1">
        <f>K15/(1+$B$57)^4</f>
        <v>2049.6887795721027</v>
      </c>
      <c r="L57" s="1">
        <f>L15/(1+$B$57)^5</f>
        <v>1794.4026319358657</v>
      </c>
      <c r="M57" s="1">
        <f>M15/(1+$B$57)^6</f>
        <v>1603.3019906286163</v>
      </c>
      <c r="N57" s="1">
        <f>N15/(1+$B$57)^7</f>
        <v>1415.6996553480119</v>
      </c>
      <c r="O57" s="1">
        <f>O15/(1+$B$57)^8</f>
        <v>1249.8715046409882</v>
      </c>
      <c r="P57" s="1">
        <f>P15/(1+$B$57)^9</f>
        <v>1105.4820167402243</v>
      </c>
      <c r="Q57" s="1">
        <f>(R15/(B57-R12))/(1+B57)^10</f>
        <v>9238.2171475149098</v>
      </c>
    </row>
    <row r="58" spans="1:17" ht="16.5" thickBot="1" x14ac:dyDescent="0.3">
      <c r="A58" s="24"/>
      <c r="C58" s="74"/>
      <c r="D58" s="75"/>
    </row>
    <row r="59" spans="1:17" x14ac:dyDescent="0.25">
      <c r="A59" s="66" t="s">
        <v>44</v>
      </c>
      <c r="B59" s="25"/>
      <c r="C59" s="77">
        <v>15</v>
      </c>
      <c r="D59" s="25"/>
      <c r="E59" s="26"/>
    </row>
    <row r="60" spans="1:17" x14ac:dyDescent="0.25">
      <c r="A60" s="27" t="s">
        <v>26</v>
      </c>
      <c r="B60" s="28"/>
      <c r="C60" s="78"/>
      <c r="D60" s="28"/>
      <c r="E60" s="29"/>
    </row>
    <row r="61" spans="1:17" x14ac:dyDescent="0.25">
      <c r="A61" s="27"/>
      <c r="B61" s="28"/>
      <c r="C61" s="78"/>
      <c r="D61" s="28"/>
      <c r="E61" s="29"/>
    </row>
    <row r="62" spans="1:17" x14ac:dyDescent="0.25">
      <c r="A62" s="27" t="s">
        <v>17</v>
      </c>
      <c r="B62" s="28"/>
      <c r="C62" s="78"/>
      <c r="D62" s="28"/>
      <c r="E62" s="67">
        <f>Q15*C59</f>
        <v>41735.035258820841</v>
      </c>
    </row>
    <row r="63" spans="1:17" x14ac:dyDescent="0.25">
      <c r="A63" s="27"/>
      <c r="B63" s="28"/>
      <c r="C63" s="78"/>
      <c r="D63" s="28"/>
      <c r="E63" s="29"/>
    </row>
    <row r="64" spans="1:17" x14ac:dyDescent="0.25">
      <c r="A64" s="27" t="s">
        <v>18</v>
      </c>
      <c r="B64" s="28"/>
      <c r="C64" s="79">
        <v>0.7</v>
      </c>
      <c r="D64" s="28"/>
      <c r="E64" s="29"/>
    </row>
    <row r="65" spans="1:5" x14ac:dyDescent="0.25">
      <c r="A65" s="27"/>
      <c r="B65" s="28"/>
      <c r="C65" s="28"/>
      <c r="D65" s="28"/>
      <c r="E65" s="29"/>
    </row>
    <row r="66" spans="1:5" x14ac:dyDescent="0.25">
      <c r="A66" s="27" t="s">
        <v>19</v>
      </c>
      <c r="B66" s="28"/>
      <c r="C66" s="28"/>
      <c r="D66" s="28"/>
      <c r="E66" s="67">
        <f>SUM(H15:R15)*C64</f>
        <v>22143.187827562964</v>
      </c>
    </row>
    <row r="67" spans="1:5" x14ac:dyDescent="0.25">
      <c r="A67" s="27"/>
      <c r="B67" s="28"/>
      <c r="C67" s="28"/>
      <c r="D67" s="28"/>
      <c r="E67" s="68"/>
    </row>
    <row r="68" spans="1:5" x14ac:dyDescent="0.25">
      <c r="A68" s="69" t="s">
        <v>20</v>
      </c>
      <c r="B68" s="28"/>
      <c r="C68" s="28"/>
      <c r="D68" s="28"/>
      <c r="E68" s="70">
        <f>(E66*0.25)*-1</f>
        <v>-5535.7969568907411</v>
      </c>
    </row>
    <row r="69" spans="1:5" x14ac:dyDescent="0.25">
      <c r="A69" s="27"/>
      <c r="B69" s="28"/>
      <c r="C69" s="47"/>
      <c r="D69" s="47"/>
      <c r="E69" s="71"/>
    </row>
    <row r="70" spans="1:5" x14ac:dyDescent="0.25">
      <c r="A70" s="27" t="s">
        <v>21</v>
      </c>
      <c r="B70" s="28"/>
      <c r="C70" s="28"/>
      <c r="D70" s="28"/>
      <c r="E70" s="67">
        <f>SUM(E62:E68)</f>
        <v>58342.426129493062</v>
      </c>
    </row>
    <row r="71" spans="1:5" x14ac:dyDescent="0.25">
      <c r="A71" s="27"/>
      <c r="B71" s="28"/>
      <c r="C71" s="28"/>
      <c r="D71" s="28"/>
      <c r="E71" s="67"/>
    </row>
    <row r="72" spans="1:5" x14ac:dyDescent="0.25">
      <c r="A72" s="27" t="s">
        <v>22</v>
      </c>
      <c r="B72" s="28"/>
      <c r="C72" s="28"/>
      <c r="D72" s="28"/>
      <c r="E72" s="71">
        <f>E70/C49-1</f>
        <v>0.75076053876785021</v>
      </c>
    </row>
    <row r="73" spans="1:5" x14ac:dyDescent="0.25">
      <c r="A73" s="27"/>
      <c r="B73" s="28"/>
      <c r="C73" s="28"/>
      <c r="D73" s="28"/>
      <c r="E73" s="29"/>
    </row>
    <row r="74" spans="1:5" ht="16.5" thickBot="1" x14ac:dyDescent="0.3">
      <c r="A74" s="72" t="s">
        <v>23</v>
      </c>
      <c r="B74" s="73"/>
      <c r="C74" s="73"/>
      <c r="D74" s="73"/>
      <c r="E74" s="76">
        <f>(E70/C49)^(1/10)-1</f>
        <v>5.7603002102942558E-2</v>
      </c>
    </row>
  </sheetData>
  <conditionalFormatting sqref="L6:L8">
    <cfRule type="top10" dxfId="7" priority="6" percent="1" rank="10"/>
  </conditionalFormatting>
  <conditionalFormatting sqref="G6:J8">
    <cfRule type="top10" dxfId="6" priority="5" percent="1" rank="10"/>
  </conditionalFormatting>
  <conditionalFormatting sqref="L9">
    <cfRule type="top10" dxfId="5" priority="4" percent="1" rank="10"/>
  </conditionalFormatting>
  <conditionalFormatting sqref="L2:L5">
    <cfRule type="top10" dxfId="4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B74"/>
  <sheetViews>
    <sheetView tabSelected="1" zoomScale="90" zoomScaleNormal="90" workbookViewId="0">
      <selection activeCell="C52" sqref="C52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3" width="16" style="1" bestFit="1" customWidth="1"/>
    <col min="4" max="4" width="16.125" style="1" customWidth="1"/>
    <col min="5" max="5" width="14.125" style="1" customWidth="1"/>
    <col min="6" max="6" width="13.625" style="1" customWidth="1"/>
    <col min="7" max="7" width="14.875" style="1" customWidth="1"/>
    <col min="8" max="8" width="12.125" style="1" customWidth="1"/>
    <col min="9" max="15" width="11.375" style="1" bestFit="1" customWidth="1"/>
    <col min="16" max="16" width="12.125" style="1" bestFit="1" customWidth="1"/>
    <col min="17" max="18" width="10.625" style="1" customWidth="1"/>
    <col min="19" max="16384" width="10.625" style="1"/>
  </cols>
  <sheetData>
    <row r="2" spans="1:28" ht="26.25" x14ac:dyDescent="0.4">
      <c r="B2" s="34" t="s">
        <v>10</v>
      </c>
    </row>
    <row r="4" spans="1:28" x14ac:dyDescent="0.25">
      <c r="B4" s="24" t="s">
        <v>46</v>
      </c>
      <c r="L4" s="28"/>
      <c r="M4" s="28"/>
      <c r="N4" s="28"/>
      <c r="O4" s="28"/>
      <c r="P4" s="28"/>
      <c r="Q4" s="28"/>
      <c r="R4" s="28"/>
      <c r="S4" s="28"/>
    </row>
    <row r="5" spans="1:28" x14ac:dyDescent="0.25">
      <c r="L5" s="28"/>
      <c r="M5" s="28"/>
      <c r="N5" s="28"/>
      <c r="O5" s="28"/>
      <c r="P5" s="28"/>
      <c r="Q5" s="28"/>
      <c r="R5" s="28"/>
      <c r="S5" s="28"/>
    </row>
    <row r="6" spans="1:28" x14ac:dyDescent="0.25">
      <c r="B6" s="1" t="s">
        <v>40</v>
      </c>
      <c r="L6" s="28"/>
      <c r="M6" s="28"/>
      <c r="N6" s="28"/>
      <c r="O6" s="28"/>
      <c r="P6" s="28"/>
      <c r="Q6" s="28"/>
      <c r="R6" s="28"/>
      <c r="S6" s="28"/>
    </row>
    <row r="9" spans="1:28" s="8" customFormat="1" x14ac:dyDescent="0.25">
      <c r="H9" s="9" t="s">
        <v>9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5">
      <c r="A10" s="4"/>
      <c r="B10" s="4"/>
      <c r="C10" s="11">
        <v>2017</v>
      </c>
      <c r="D10" s="11">
        <v>2018</v>
      </c>
      <c r="E10" s="11">
        <v>2019</v>
      </c>
      <c r="F10" s="11">
        <v>2020</v>
      </c>
      <c r="G10" s="11">
        <v>2021</v>
      </c>
      <c r="H10" s="61">
        <v>2022</v>
      </c>
      <c r="I10" s="61">
        <v>2023</v>
      </c>
      <c r="J10" s="61">
        <v>2024</v>
      </c>
      <c r="K10" s="61">
        <v>2025</v>
      </c>
      <c r="L10" s="61">
        <v>2026</v>
      </c>
      <c r="M10" s="61">
        <v>2027</v>
      </c>
      <c r="N10" s="61">
        <v>2028</v>
      </c>
      <c r="O10" s="61">
        <v>2029</v>
      </c>
      <c r="P10" s="61">
        <v>2030</v>
      </c>
      <c r="Q10" s="61">
        <v>2031</v>
      </c>
      <c r="R10" s="60" t="s">
        <v>30</v>
      </c>
    </row>
    <row r="11" spans="1:28" x14ac:dyDescent="0.25">
      <c r="A11" s="5"/>
      <c r="B11" s="4" t="s">
        <v>4</v>
      </c>
      <c r="C11" s="97">
        <v>4854.8999999999996</v>
      </c>
      <c r="D11" s="97">
        <v>5372.6</v>
      </c>
      <c r="E11" s="97">
        <v>5617.9</v>
      </c>
      <c r="F11" s="97">
        <v>6206.7</v>
      </c>
      <c r="G11" s="97">
        <v>7671.9</v>
      </c>
      <c r="H11" s="83">
        <v>7782.87</v>
      </c>
      <c r="I11" s="83">
        <v>8093.99</v>
      </c>
      <c r="J11" s="83">
        <v>8653.24</v>
      </c>
      <c r="K11" s="83">
        <f t="shared" ref="K11:R11" si="0">J11*(1+K12)</f>
        <v>9085.902</v>
      </c>
      <c r="L11" s="83">
        <f t="shared" si="0"/>
        <v>9540.1971000000012</v>
      </c>
      <c r="M11" s="83">
        <f t="shared" si="0"/>
        <v>10017.206955000001</v>
      </c>
      <c r="N11" s="83">
        <f t="shared" si="0"/>
        <v>10518.067302750002</v>
      </c>
      <c r="O11" s="83">
        <f t="shared" si="0"/>
        <v>11043.970667887503</v>
      </c>
      <c r="P11" s="83">
        <f t="shared" si="0"/>
        <v>11485.729494603003</v>
      </c>
      <c r="Q11" s="83">
        <f t="shared" si="0"/>
        <v>11830.301379441094</v>
      </c>
      <c r="R11" s="83">
        <f t="shared" si="0"/>
        <v>11948.604393235506</v>
      </c>
    </row>
    <row r="12" spans="1:28" x14ac:dyDescent="0.25">
      <c r="A12" s="5"/>
      <c r="B12" s="4" t="s">
        <v>1</v>
      </c>
      <c r="C12" s="98"/>
      <c r="D12" s="98">
        <v>0.10663453418196056</v>
      </c>
      <c r="E12" s="98">
        <v>4.565759594981933E-2</v>
      </c>
      <c r="F12" s="98">
        <v>0.10480784634827955</v>
      </c>
      <c r="G12" s="98">
        <v>0.23606747547005646</v>
      </c>
      <c r="H12" s="94">
        <f t="shared" ref="D12:J12" si="1">H11/G11-1</f>
        <v>1.4464474250185821E-2</v>
      </c>
      <c r="I12" s="94">
        <f t="shared" si="1"/>
        <v>3.9974970672772336E-2</v>
      </c>
      <c r="J12" s="94">
        <f t="shared" si="1"/>
        <v>6.9094476271900573E-2</v>
      </c>
      <c r="K12" s="94">
        <v>0.05</v>
      </c>
      <c r="L12" s="62">
        <v>0.05</v>
      </c>
      <c r="M12" s="62">
        <v>0.05</v>
      </c>
      <c r="N12" s="62">
        <v>0.05</v>
      </c>
      <c r="O12" s="62">
        <v>0.05</v>
      </c>
      <c r="P12" s="62">
        <v>0.04</v>
      </c>
      <c r="Q12" s="62">
        <v>0.03</v>
      </c>
      <c r="R12" s="13">
        <v>0.01</v>
      </c>
    </row>
    <row r="13" spans="1:28" ht="15.95" customHeight="1" x14ac:dyDescent="0.25">
      <c r="A13" s="5"/>
      <c r="B13" s="4" t="s">
        <v>15</v>
      </c>
      <c r="C13" s="98">
        <v>0.43436528043832012</v>
      </c>
      <c r="D13" s="98">
        <v>0.439526486245021</v>
      </c>
      <c r="E13" s="98">
        <v>0.42489186350771646</v>
      </c>
      <c r="F13" s="98">
        <v>0.44237678637601302</v>
      </c>
      <c r="G13" s="98">
        <v>0.48358294555455628</v>
      </c>
      <c r="H13" s="82">
        <v>0.45019999999999999</v>
      </c>
      <c r="I13" s="82">
        <v>0.44469999999999998</v>
      </c>
      <c r="J13" s="82">
        <v>0.4284</v>
      </c>
      <c r="K13" s="82">
        <v>0.42499999999999999</v>
      </c>
      <c r="L13" s="82">
        <v>0.42499999999999999</v>
      </c>
      <c r="M13" s="82">
        <v>0.42499999999999999</v>
      </c>
      <c r="N13" s="82">
        <v>0.43</v>
      </c>
      <c r="O13" s="82">
        <v>0.44</v>
      </c>
      <c r="P13" s="82">
        <v>0.44</v>
      </c>
      <c r="Q13" s="82">
        <v>0.45</v>
      </c>
      <c r="R13" s="82">
        <v>0.45</v>
      </c>
    </row>
    <row r="14" spans="1:28" ht="17.100000000000001" customHeight="1" x14ac:dyDescent="0.25">
      <c r="A14" s="5"/>
      <c r="B14" s="4" t="s">
        <v>16</v>
      </c>
      <c r="C14" s="97">
        <v>2108.8000000000002</v>
      </c>
      <c r="D14" s="97">
        <v>2361.4</v>
      </c>
      <c r="E14" s="97">
        <v>2387</v>
      </c>
      <c r="F14" s="97">
        <v>2745.7</v>
      </c>
      <c r="G14" s="97">
        <v>3710</v>
      </c>
      <c r="H14" s="83">
        <f t="shared" ref="H14:R14" si="2">H11*H13</f>
        <v>3503.848074</v>
      </c>
      <c r="I14" s="83">
        <f t="shared" si="2"/>
        <v>3599.3973529999998</v>
      </c>
      <c r="J14" s="83">
        <f t="shared" si="2"/>
        <v>3707.0480159999997</v>
      </c>
      <c r="K14" s="83">
        <f t="shared" si="2"/>
        <v>3861.5083500000001</v>
      </c>
      <c r="L14" s="83">
        <f t="shared" si="2"/>
        <v>4054.5837675000002</v>
      </c>
      <c r="M14" s="83">
        <f t="shared" si="2"/>
        <v>4257.3129558750006</v>
      </c>
      <c r="N14" s="83">
        <f t="shared" si="2"/>
        <v>4522.768940182501</v>
      </c>
      <c r="O14" s="83">
        <f t="shared" si="2"/>
        <v>4859.3470938705013</v>
      </c>
      <c r="P14" s="83">
        <f t="shared" si="2"/>
        <v>5053.7209776253212</v>
      </c>
      <c r="Q14" s="83">
        <f t="shared" si="2"/>
        <v>5323.6356207484923</v>
      </c>
      <c r="R14" s="83">
        <f t="shared" si="2"/>
        <v>5376.8719769559775</v>
      </c>
    </row>
    <row r="15" spans="1:28" ht="16.5" thickBot="1" x14ac:dyDescent="0.3">
      <c r="A15" s="12">
        <v>0.2</v>
      </c>
      <c r="B15" s="4" t="s">
        <v>29</v>
      </c>
      <c r="C15" s="97">
        <v>1497.8</v>
      </c>
      <c r="D15" s="97">
        <v>1837.5</v>
      </c>
      <c r="E15" s="97">
        <v>2131.3000000000002</v>
      </c>
      <c r="F15" s="97">
        <v>2372.6999999999998</v>
      </c>
      <c r="G15" s="97">
        <v>3082.9</v>
      </c>
      <c r="H15" s="83">
        <f>H11*0.3544</f>
        <v>2758.2491279999999</v>
      </c>
      <c r="I15" s="83">
        <f>I11*0.3535</f>
        <v>2861.225465</v>
      </c>
      <c r="J15" s="83">
        <f>J11*0.332</f>
        <v>2872.8756800000001</v>
      </c>
      <c r="K15" s="83">
        <f t="shared" ref="K15:Q15" si="3">K14*(1-$A$15)</f>
        <v>3089.2066800000002</v>
      </c>
      <c r="L15" s="83">
        <f t="shared" si="3"/>
        <v>3243.6670140000006</v>
      </c>
      <c r="M15" s="83">
        <f t="shared" si="3"/>
        <v>3405.8503647000007</v>
      </c>
      <c r="N15" s="83">
        <f t="shared" si="3"/>
        <v>3618.2151521460009</v>
      </c>
      <c r="O15" s="83">
        <f t="shared" si="3"/>
        <v>3887.4776750964011</v>
      </c>
      <c r="P15" s="83">
        <f t="shared" si="3"/>
        <v>4042.976782100257</v>
      </c>
      <c r="Q15" s="83">
        <f t="shared" si="3"/>
        <v>4258.908496598794</v>
      </c>
      <c r="R15" s="83">
        <f>R14*(1-$A$15)</f>
        <v>4301.4975815647822</v>
      </c>
    </row>
    <row r="16" spans="1:28" ht="32.25" thickBot="1" x14ac:dyDescent="0.3">
      <c r="A16" s="14" t="s">
        <v>6</v>
      </c>
      <c r="B16" s="15"/>
      <c r="C16" s="16">
        <f t="shared" ref="C16:E16" si="4">C15/C14</f>
        <v>0.71026176024279197</v>
      </c>
      <c r="D16" s="16">
        <f t="shared" si="4"/>
        <v>0.77814008638943</v>
      </c>
      <c r="E16" s="16">
        <f t="shared" si="4"/>
        <v>0.89287808965228332</v>
      </c>
      <c r="F16" s="16">
        <f t="shared" ref="F16:K16" si="5">F15/F14</f>
        <v>0.86415121826856534</v>
      </c>
      <c r="G16" s="16">
        <f t="shared" si="5"/>
        <v>0.83097035040431266</v>
      </c>
      <c r="H16" s="16">
        <f t="shared" si="5"/>
        <v>0.78720568636161703</v>
      </c>
      <c r="I16" s="16">
        <f t="shared" si="5"/>
        <v>0.794917922194738</v>
      </c>
      <c r="J16" s="16">
        <f t="shared" si="5"/>
        <v>0.77497665732959864</v>
      </c>
      <c r="K16" s="16">
        <f t="shared" si="5"/>
        <v>0.8</v>
      </c>
    </row>
    <row r="17" spans="1:18" x14ac:dyDescent="0.25">
      <c r="A17" s="2"/>
      <c r="G17" s="6"/>
      <c r="H17" s="6"/>
      <c r="I17" s="6"/>
      <c r="J17" s="6"/>
      <c r="K17" s="6"/>
      <c r="L17" s="95"/>
      <c r="M17" s="95"/>
      <c r="N17" s="95"/>
      <c r="O17" s="95"/>
      <c r="P17" s="95"/>
      <c r="Q17" s="95"/>
      <c r="R17" s="3"/>
    </row>
    <row r="18" spans="1:18" ht="16.5" thickBot="1" x14ac:dyDescent="0.3">
      <c r="A18" s="2"/>
      <c r="G18" s="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3"/>
    </row>
    <row r="19" spans="1:18" ht="16.5" thickBot="1" x14ac:dyDescent="0.3">
      <c r="A19" s="2"/>
      <c r="F19" s="56" t="s">
        <v>12</v>
      </c>
      <c r="G19" s="57"/>
      <c r="H19" s="58">
        <f>H15/(1+$C$55)</f>
        <v>2552.9888263606072</v>
      </c>
      <c r="I19" s="58">
        <f>I15/(1+$C$55)^2</f>
        <v>2451.2236073452304</v>
      </c>
      <c r="J19" s="58">
        <f>J15/(1+$C$55)^3</f>
        <v>2278.0492358246024</v>
      </c>
      <c r="K19" s="58">
        <f>K15/(1+$C$55)^4</f>
        <v>2267.2983042575243</v>
      </c>
      <c r="L19" s="58">
        <f>L15/(1+$C$55)^5</f>
        <v>2203.501684071085</v>
      </c>
      <c r="M19" s="58">
        <f>M15/(1+$C$55)^6</f>
        <v>2141.5001557521655</v>
      </c>
      <c r="N19" s="58">
        <f>N15/(1+$C$55)^7</f>
        <v>2105.7284237256413</v>
      </c>
      <c r="O19" s="58">
        <f>O15/(1+$C$55)^8</f>
        <v>2094.0705246145835</v>
      </c>
      <c r="P19" s="58">
        <f>P15/(1+$C$55)^9</f>
        <v>2015.7657771188144</v>
      </c>
      <c r="Q19" s="58">
        <f>Q15/(1+$C$55)^10</f>
        <v>1965.4072517219436</v>
      </c>
      <c r="R19" s="59">
        <f>(R15/(C55-R12))/(1+C55)^10</f>
        <v>28196.893810215381</v>
      </c>
    </row>
    <row r="20" spans="1:18" x14ac:dyDescent="0.25">
      <c r="A20" s="2"/>
      <c r="C20" s="86"/>
      <c r="G20" s="6"/>
      <c r="H20" s="7"/>
      <c r="I20" s="6"/>
      <c r="J20" s="6"/>
      <c r="K20" s="6"/>
      <c r="L20" s="6"/>
      <c r="M20" s="6"/>
      <c r="N20" s="6"/>
      <c r="O20" s="6"/>
      <c r="P20" s="3"/>
      <c r="Q20" s="3"/>
      <c r="R20" s="3"/>
    </row>
    <row r="21" spans="1:18" x14ac:dyDescent="0.25">
      <c r="A21" s="2"/>
      <c r="P21" s="3"/>
      <c r="Q21" s="3"/>
      <c r="R21" s="3"/>
    </row>
    <row r="22" spans="1:18" ht="16.5" thickBot="1" x14ac:dyDescent="0.3">
      <c r="P22" s="3"/>
      <c r="Q22" s="3"/>
      <c r="R22" s="3"/>
    </row>
    <row r="23" spans="1:18" x14ac:dyDescent="0.25">
      <c r="A23" s="35" t="s">
        <v>31</v>
      </c>
      <c r="B23" s="36"/>
      <c r="C23" s="36"/>
      <c r="D23" s="37"/>
      <c r="E23" s="25"/>
      <c r="F23" s="36"/>
      <c r="G23" s="66" t="s">
        <v>32</v>
      </c>
      <c r="H23" s="25"/>
      <c r="I23" s="90">
        <v>5.0000000000000001E-3</v>
      </c>
      <c r="J23" s="26" t="s">
        <v>33</v>
      </c>
    </row>
    <row r="24" spans="1:18" x14ac:dyDescent="0.25">
      <c r="A24" s="38"/>
      <c r="B24" s="39"/>
      <c r="C24" s="39"/>
      <c r="D24" s="40"/>
      <c r="E24" s="39"/>
      <c r="F24" s="39"/>
      <c r="G24" s="27"/>
      <c r="H24" s="28"/>
      <c r="I24" s="91"/>
      <c r="J24" s="29"/>
    </row>
    <row r="25" spans="1:18" x14ac:dyDescent="0.25">
      <c r="A25" s="38"/>
      <c r="B25" s="39"/>
      <c r="C25" s="39"/>
      <c r="D25" s="41"/>
      <c r="E25" s="28"/>
      <c r="F25" s="39"/>
      <c r="G25" s="27" t="s">
        <v>34</v>
      </c>
      <c r="H25" s="28"/>
      <c r="I25" s="92">
        <f>(I27-I23)*I29</f>
        <v>7.5399999999999995E-2</v>
      </c>
      <c r="J25" s="29"/>
    </row>
    <row r="26" spans="1:18" x14ac:dyDescent="0.25">
      <c r="A26" s="38"/>
      <c r="B26" s="39"/>
      <c r="C26" s="39"/>
      <c r="D26" s="41"/>
      <c r="E26" s="28"/>
      <c r="F26" s="39"/>
      <c r="G26" s="27"/>
      <c r="H26" s="28"/>
      <c r="I26" s="91"/>
      <c r="J26" s="29"/>
    </row>
    <row r="27" spans="1:18" x14ac:dyDescent="0.25">
      <c r="A27" s="38"/>
      <c r="B27" s="39"/>
      <c r="C27" s="39"/>
      <c r="D27" s="41"/>
      <c r="E27" s="28"/>
      <c r="F27" s="39"/>
      <c r="G27" s="27" t="s">
        <v>35</v>
      </c>
      <c r="H27" s="28"/>
      <c r="I27" s="93">
        <v>7.0000000000000007E-2</v>
      </c>
      <c r="J27" s="29" t="s">
        <v>36</v>
      </c>
    </row>
    <row r="28" spans="1:18" x14ac:dyDescent="0.25">
      <c r="A28" s="38"/>
      <c r="B28" s="39"/>
      <c r="C28" s="39"/>
      <c r="D28" s="42"/>
      <c r="E28" s="28"/>
      <c r="F28" s="39"/>
      <c r="G28" s="27"/>
      <c r="H28" s="28"/>
      <c r="I28" s="91"/>
      <c r="J28" s="29"/>
    </row>
    <row r="29" spans="1:18" x14ac:dyDescent="0.25">
      <c r="A29" s="38"/>
      <c r="B29" s="39"/>
      <c r="C29" s="39"/>
      <c r="D29" s="42"/>
      <c r="E29" s="28"/>
      <c r="F29" s="39"/>
      <c r="G29" s="27" t="s">
        <v>43</v>
      </c>
      <c r="H29" s="28"/>
      <c r="I29" s="91">
        <v>1.1599999999999999</v>
      </c>
      <c r="J29" s="29" t="s">
        <v>37</v>
      </c>
    </row>
    <row r="30" spans="1:18" x14ac:dyDescent="0.25">
      <c r="A30" s="38"/>
      <c r="B30" s="39"/>
      <c r="C30" s="39"/>
      <c r="D30" s="43"/>
      <c r="E30" s="28"/>
      <c r="F30" s="39"/>
      <c r="G30" s="27"/>
      <c r="H30" s="28"/>
      <c r="I30" s="91"/>
      <c r="J30" s="29"/>
    </row>
    <row r="31" spans="1:18" x14ac:dyDescent="0.25">
      <c r="A31" s="38"/>
      <c r="B31" s="39"/>
      <c r="C31" s="39"/>
      <c r="D31" s="40"/>
      <c r="E31" s="28"/>
      <c r="F31" s="39"/>
      <c r="G31" s="27" t="s">
        <v>38</v>
      </c>
      <c r="H31" s="28"/>
      <c r="I31" s="93">
        <f>I23+(I27-I23)*I29</f>
        <v>8.0399999999999999E-2</v>
      </c>
      <c r="J31" s="29" t="s">
        <v>39</v>
      </c>
    </row>
    <row r="32" spans="1:18" x14ac:dyDescent="0.25">
      <c r="A32" s="27"/>
      <c r="B32" s="28"/>
      <c r="C32" s="44"/>
      <c r="D32" s="28"/>
      <c r="E32" s="39"/>
      <c r="F32" s="39"/>
      <c r="G32" s="27"/>
      <c r="H32" s="28"/>
      <c r="I32" s="28"/>
      <c r="J32" s="29"/>
    </row>
    <row r="33" spans="1:10" x14ac:dyDescent="0.25">
      <c r="A33" s="27"/>
      <c r="B33" s="28"/>
      <c r="C33" s="28"/>
      <c r="D33" s="28"/>
      <c r="E33" s="28"/>
      <c r="F33" s="28"/>
      <c r="G33" s="87" t="s">
        <v>41</v>
      </c>
      <c r="H33" s="88"/>
      <c r="I33" s="89">
        <f>I31</f>
        <v>8.0399999999999999E-2</v>
      </c>
      <c r="J33" s="29"/>
    </row>
    <row r="34" spans="1:10" x14ac:dyDescent="0.25">
      <c r="A34" s="38" t="s">
        <v>7</v>
      </c>
      <c r="B34" s="39"/>
      <c r="C34" s="45"/>
      <c r="D34" s="30"/>
      <c r="E34" s="28"/>
      <c r="F34" s="28"/>
      <c r="G34" s="27"/>
      <c r="H34" s="28"/>
      <c r="I34" s="28"/>
      <c r="J34" s="29"/>
    </row>
    <row r="35" spans="1:10" ht="15.75" hidden="1" customHeight="1" x14ac:dyDescent="0.25">
      <c r="A35" s="27"/>
      <c r="B35" s="28"/>
      <c r="C35" s="28"/>
      <c r="D35" s="28"/>
      <c r="E35" s="28"/>
      <c r="F35" s="28"/>
      <c r="G35" s="27"/>
      <c r="H35" s="28"/>
      <c r="I35" s="28"/>
      <c r="J35" s="29"/>
    </row>
    <row r="36" spans="1:10" ht="15.75" hidden="1" customHeight="1" x14ac:dyDescent="0.25">
      <c r="A36" s="27"/>
      <c r="B36" s="28" t="s">
        <v>8</v>
      </c>
      <c r="C36" s="28"/>
      <c r="D36" s="46">
        <v>0.08</v>
      </c>
      <c r="E36" s="28"/>
      <c r="F36" s="28"/>
      <c r="G36" s="27"/>
      <c r="H36" s="28"/>
      <c r="I36" s="28"/>
      <c r="J36" s="29"/>
    </row>
    <row r="37" spans="1:10" ht="15.75" hidden="1" customHeight="1" x14ac:dyDescent="0.25">
      <c r="A37" s="27"/>
      <c r="B37" s="28"/>
      <c r="C37" s="28"/>
      <c r="D37" s="28"/>
      <c r="E37" s="28"/>
      <c r="F37" s="28"/>
      <c r="G37" s="27"/>
      <c r="H37" s="28"/>
      <c r="I37" s="28"/>
      <c r="J37" s="29"/>
    </row>
    <row r="38" spans="1:10" ht="15.75" hidden="1" customHeight="1" x14ac:dyDescent="0.25">
      <c r="A38" s="27"/>
      <c r="B38" s="28"/>
      <c r="C38" s="28"/>
      <c r="D38" s="28"/>
      <c r="E38" s="28"/>
      <c r="F38" s="28"/>
      <c r="G38" s="27"/>
      <c r="H38" s="28"/>
      <c r="I38" s="28"/>
      <c r="J38" s="29"/>
    </row>
    <row r="39" spans="1:10" ht="15.75" hidden="1" customHeight="1" x14ac:dyDescent="0.25">
      <c r="A39" s="27"/>
      <c r="B39" s="28"/>
      <c r="C39" s="28"/>
      <c r="D39" s="28"/>
      <c r="E39" s="28"/>
      <c r="F39" s="28"/>
      <c r="G39" s="27"/>
      <c r="H39" s="28"/>
      <c r="I39" s="28"/>
      <c r="J39" s="29"/>
    </row>
    <row r="40" spans="1:10" hidden="1" x14ac:dyDescent="0.25">
      <c r="A40" s="27"/>
      <c r="B40" s="47"/>
      <c r="C40" s="47">
        <v>0.12</v>
      </c>
      <c r="D40" s="47" t="e">
        <f>((NPV(C40,$H$15:$R$15)+(#REF!*(1+#REF!)/(C40-#REF!))/(1+C40)^(2040-2020))/$D$50)/$C$51-1</f>
        <v>#REF!</v>
      </c>
      <c r="E40" s="28"/>
      <c r="F40" s="28"/>
      <c r="G40" s="27"/>
      <c r="H40" s="28"/>
      <c r="I40" s="28"/>
      <c r="J40" s="29"/>
    </row>
    <row r="41" spans="1:10" hidden="1" x14ac:dyDescent="0.25">
      <c r="A41" s="27"/>
      <c r="B41" s="47"/>
      <c r="C41" s="47">
        <v>0.14000000000000001</v>
      </c>
      <c r="D41" s="47" t="e">
        <f>((NPV(C41,$H$15:$R$15)+(#REF!*(1+#REF!)/(C41-#REF!))/(1+C41)^(2040-2020))/$D$50)/$C$51-1</f>
        <v>#REF!</v>
      </c>
      <c r="E41" s="28"/>
      <c r="F41" s="28"/>
      <c r="G41" s="27"/>
      <c r="H41" s="28"/>
      <c r="I41" s="28"/>
      <c r="J41" s="29"/>
    </row>
    <row r="42" spans="1:10" hidden="1" x14ac:dyDescent="0.25">
      <c r="A42" s="27"/>
      <c r="B42" s="47"/>
      <c r="C42" s="47">
        <v>0.16</v>
      </c>
      <c r="D42" s="47" t="e">
        <f>((NPV(C42,$H$15:$R$15)+(#REF!*(1+#REF!)/(C42-#REF!))/(1+C42)^(2040-2020))/$D$50)/$C$51-1</f>
        <v>#REF!</v>
      </c>
      <c r="E42" s="28"/>
      <c r="F42" s="28"/>
      <c r="G42" s="27"/>
      <c r="H42" s="28"/>
      <c r="I42" s="28"/>
      <c r="J42" s="29"/>
    </row>
    <row r="43" spans="1:10" hidden="1" x14ac:dyDescent="0.25">
      <c r="A43" s="27"/>
      <c r="B43" s="47"/>
      <c r="C43" s="47">
        <v>0.18</v>
      </c>
      <c r="D43" s="47" t="e">
        <f>((NPV(C43,$H$15:$R$15)+(#REF!*(1+#REF!)/(C43-#REF!))/(1+C43)^(2040-2020))/$D$50)/$C$51-1</f>
        <v>#REF!</v>
      </c>
      <c r="E43" s="28"/>
      <c r="F43" s="28"/>
      <c r="G43" s="27"/>
      <c r="H43" s="28"/>
      <c r="I43" s="28"/>
      <c r="J43" s="29"/>
    </row>
    <row r="44" spans="1:10" hidden="1" x14ac:dyDescent="0.25">
      <c r="A44" s="27"/>
      <c r="B44" s="47"/>
      <c r="C44" s="47">
        <v>0.2</v>
      </c>
      <c r="D44" s="47" t="e">
        <f>((NPV(C44,$H$15:$R$15)+(#REF!*(1+#REF!)/(C44-#REF!))/(1+C44)^(2040-2020))/$D$50)/$C$51-1</f>
        <v>#REF!</v>
      </c>
      <c r="E44" s="28"/>
      <c r="F44" s="28"/>
      <c r="G44" s="27"/>
      <c r="H44" s="28"/>
      <c r="I44" s="28"/>
      <c r="J44" s="29"/>
    </row>
    <row r="45" spans="1:10" x14ac:dyDescent="0.25">
      <c r="A45" s="27"/>
      <c r="B45" s="28"/>
      <c r="C45" s="28"/>
      <c r="D45" s="28"/>
      <c r="E45" s="28"/>
      <c r="F45" s="28"/>
      <c r="G45" s="27"/>
      <c r="H45" s="28"/>
      <c r="I45" s="28"/>
      <c r="J45" s="29"/>
    </row>
    <row r="46" spans="1:10" ht="16.5" thickBot="1" x14ac:dyDescent="0.3">
      <c r="A46" s="31"/>
      <c r="B46" s="32" t="s">
        <v>25</v>
      </c>
      <c r="C46" s="32"/>
      <c r="D46" s="48">
        <f>I33</f>
        <v>8.0399999999999999E-2</v>
      </c>
      <c r="E46" s="32"/>
      <c r="F46" s="32"/>
      <c r="G46" s="31"/>
      <c r="H46" s="32"/>
      <c r="I46" s="32"/>
      <c r="J46" s="33"/>
    </row>
    <row r="48" spans="1:10" x14ac:dyDescent="0.25">
      <c r="A48" s="17"/>
      <c r="B48" s="18"/>
      <c r="C48" s="19">
        <v>44659</v>
      </c>
      <c r="D48" s="20" t="s">
        <v>3</v>
      </c>
      <c r="E48" s="21"/>
      <c r="F48" s="22"/>
      <c r="G48" s="23"/>
      <c r="H48" s="23"/>
      <c r="I48" s="23"/>
    </row>
    <row r="49" spans="1:17" x14ac:dyDescent="0.25">
      <c r="A49" s="49" t="s">
        <v>0</v>
      </c>
      <c r="B49" s="50" t="s">
        <v>5</v>
      </c>
      <c r="C49" s="81">
        <f>C50*C51</f>
        <v>33324.046800000004</v>
      </c>
      <c r="D49" s="52">
        <f>SUM(H19:R19)</f>
        <v>50272.42760100757</v>
      </c>
      <c r="E49" s="50" t="s">
        <v>42</v>
      </c>
    </row>
    <row r="50" spans="1:17" x14ac:dyDescent="0.25">
      <c r="A50" s="49"/>
      <c r="B50" s="50" t="s">
        <v>11</v>
      </c>
      <c r="C50" s="51">
        <v>227.81</v>
      </c>
      <c r="D50" s="51">
        <f>C50</f>
        <v>227.81</v>
      </c>
      <c r="E50" s="50"/>
    </row>
    <row r="51" spans="1:17" x14ac:dyDescent="0.25">
      <c r="A51" s="49"/>
      <c r="B51" s="50" t="s">
        <v>13</v>
      </c>
      <c r="C51" s="63">
        <v>146.28</v>
      </c>
      <c r="D51" s="63">
        <f>D49/(D50)</f>
        <v>220.67700101403614</v>
      </c>
      <c r="E51" s="50" t="s">
        <v>42</v>
      </c>
    </row>
    <row r="52" spans="1:17" x14ac:dyDescent="0.25">
      <c r="A52" s="49"/>
      <c r="B52" s="50" t="s">
        <v>2</v>
      </c>
      <c r="C52" s="50"/>
      <c r="D52" s="64">
        <f>IF(C51/D51-1&gt;0,0,C51/D51-1)*-1</f>
        <v>0.33713074163675139</v>
      </c>
      <c r="E52" s="50"/>
    </row>
    <row r="53" spans="1:17" x14ac:dyDescent="0.25">
      <c r="A53" s="49"/>
      <c r="B53" s="50" t="s">
        <v>14</v>
      </c>
      <c r="C53" s="50"/>
      <c r="D53" s="65">
        <f>IF(C51/D51-1&lt;0,0,C51/D51-1)</f>
        <v>0</v>
      </c>
      <c r="E53" s="50"/>
    </row>
    <row r="54" spans="1:17" x14ac:dyDescent="0.25">
      <c r="A54" s="50"/>
      <c r="B54" s="50"/>
      <c r="C54" s="50"/>
      <c r="D54" s="53"/>
      <c r="E54" s="53"/>
    </row>
    <row r="55" spans="1:17" x14ac:dyDescent="0.25">
      <c r="A55" s="53" t="s">
        <v>24</v>
      </c>
      <c r="B55" s="50"/>
      <c r="C55" s="55">
        <f>D46</f>
        <v>8.0399999999999999E-2</v>
      </c>
      <c r="D55" s="54"/>
      <c r="E55" s="50"/>
      <c r="J55" s="80"/>
    </row>
    <row r="56" spans="1:17" x14ac:dyDescent="0.25">
      <c r="A56" s="53"/>
      <c r="B56" s="50"/>
      <c r="C56" s="55"/>
      <c r="D56" s="54"/>
      <c r="E56" s="50"/>
    </row>
    <row r="57" spans="1:17" hidden="1" x14ac:dyDescent="0.25">
      <c r="A57" s="53" t="s">
        <v>27</v>
      </c>
      <c r="B57" s="84">
        <v>0.108</v>
      </c>
      <c r="C57" s="55"/>
      <c r="D57" s="85">
        <f>SUM(H57:Q57)*1000</f>
        <v>33587160.971823417</v>
      </c>
      <c r="E57" s="50"/>
      <c r="F57" s="1" t="s">
        <v>28</v>
      </c>
      <c r="H57" s="1">
        <f>H15/(1+$B$57)</f>
        <v>2489.3945198555953</v>
      </c>
      <c r="I57" s="1">
        <f>I15/(1+$B$57)^2</f>
        <v>2330.6258593556536</v>
      </c>
      <c r="J57" s="1">
        <f>J15/(1+$B$57)^3</f>
        <v>2112.017691031584</v>
      </c>
      <c r="K57" s="1">
        <f>K15/(1+$B$57)^4</f>
        <v>2049.6887795721027</v>
      </c>
      <c r="L57" s="1">
        <f>L15/(1+$B$57)^5</f>
        <v>1942.3946015800611</v>
      </c>
      <c r="M57" s="1">
        <f>M15/(1+$B$57)^6</f>
        <v>1840.7169058294801</v>
      </c>
      <c r="N57" s="1">
        <f>N15/(1+$B$57)^7</f>
        <v>1764.8835909577624</v>
      </c>
      <c r="O57" s="1">
        <f>O15/(1+$B$57)^8</f>
        <v>1711.393289863332</v>
      </c>
      <c r="P57" s="1">
        <f>P15/(1+$B$57)^9</f>
        <v>1606.361932723705</v>
      </c>
      <c r="Q57" s="1">
        <f>(R15/(B57-R12))/(1+B57)^10</f>
        <v>15739.68380105414</v>
      </c>
    </row>
    <row r="58" spans="1:17" ht="16.5" thickBot="1" x14ac:dyDescent="0.3">
      <c r="A58" s="24"/>
      <c r="C58" s="74"/>
      <c r="D58" s="75"/>
    </row>
    <row r="59" spans="1:17" x14ac:dyDescent="0.25">
      <c r="A59" s="66" t="s">
        <v>44</v>
      </c>
      <c r="B59" s="25"/>
      <c r="C59" s="77">
        <v>17</v>
      </c>
      <c r="D59" s="25"/>
      <c r="E59" s="26"/>
    </row>
    <row r="60" spans="1:17" x14ac:dyDescent="0.25">
      <c r="A60" s="27" t="s">
        <v>26</v>
      </c>
      <c r="B60" s="28"/>
      <c r="C60" s="78"/>
      <c r="D60" s="28"/>
      <c r="E60" s="29"/>
    </row>
    <row r="61" spans="1:17" x14ac:dyDescent="0.25">
      <c r="A61" s="27"/>
      <c r="B61" s="28"/>
      <c r="C61" s="78"/>
      <c r="D61" s="28"/>
      <c r="E61" s="29"/>
    </row>
    <row r="62" spans="1:17" x14ac:dyDescent="0.25">
      <c r="A62" s="27" t="s">
        <v>17</v>
      </c>
      <c r="B62" s="28"/>
      <c r="C62" s="78"/>
      <c r="D62" s="28"/>
      <c r="E62" s="67">
        <f>Q15*C59</f>
        <v>72401.444442179505</v>
      </c>
    </row>
    <row r="63" spans="1:17" x14ac:dyDescent="0.25">
      <c r="A63" s="27"/>
      <c r="B63" s="28"/>
      <c r="C63" s="78"/>
      <c r="D63" s="28"/>
      <c r="E63" s="29"/>
    </row>
    <row r="64" spans="1:17" x14ac:dyDescent="0.25">
      <c r="A64" s="27" t="s">
        <v>18</v>
      </c>
      <c r="B64" s="28"/>
      <c r="C64" s="79">
        <v>0.75</v>
      </c>
      <c r="D64" s="28"/>
      <c r="E64" s="29"/>
    </row>
    <row r="65" spans="1:5" x14ac:dyDescent="0.25">
      <c r="A65" s="27"/>
      <c r="B65" s="28"/>
      <c r="C65" s="28"/>
      <c r="D65" s="28"/>
      <c r="E65" s="29"/>
    </row>
    <row r="66" spans="1:5" x14ac:dyDescent="0.25">
      <c r="A66" s="27" t="s">
        <v>19</v>
      </c>
      <c r="B66" s="28"/>
      <c r="C66" s="28"/>
      <c r="D66" s="28"/>
      <c r="E66" s="67">
        <f>SUM(H15:R15)*C64</f>
        <v>28755.112514404678</v>
      </c>
    </row>
    <row r="67" spans="1:5" x14ac:dyDescent="0.25">
      <c r="A67" s="27"/>
      <c r="B67" s="28"/>
      <c r="C67" s="28"/>
      <c r="D67" s="28"/>
      <c r="E67" s="68"/>
    </row>
    <row r="68" spans="1:5" x14ac:dyDescent="0.25">
      <c r="A68" s="69" t="s">
        <v>20</v>
      </c>
      <c r="B68" s="28"/>
      <c r="C68" s="28"/>
      <c r="D68" s="28"/>
      <c r="E68" s="70">
        <f>(E66*0.25)*-1</f>
        <v>-7188.7781286011696</v>
      </c>
    </row>
    <row r="69" spans="1:5" x14ac:dyDescent="0.25">
      <c r="A69" s="27"/>
      <c r="B69" s="28"/>
      <c r="C69" s="47"/>
      <c r="D69" s="47"/>
      <c r="E69" s="71"/>
    </row>
    <row r="70" spans="1:5" x14ac:dyDescent="0.25">
      <c r="A70" s="27" t="s">
        <v>21</v>
      </c>
      <c r="B70" s="28"/>
      <c r="C70" s="28"/>
      <c r="D70" s="28"/>
      <c r="E70" s="67">
        <f>SUM(E62:E68)</f>
        <v>93967.778827983013</v>
      </c>
    </row>
    <row r="71" spans="1:5" x14ac:dyDescent="0.25">
      <c r="A71" s="27"/>
      <c r="B71" s="28"/>
      <c r="C71" s="28"/>
      <c r="D71" s="28"/>
      <c r="E71" s="67"/>
    </row>
    <row r="72" spans="1:5" x14ac:dyDescent="0.25">
      <c r="A72" s="27" t="s">
        <v>22</v>
      </c>
      <c r="B72" s="28"/>
      <c r="C72" s="28"/>
      <c r="D72" s="28"/>
      <c r="E72" s="71">
        <f>E70/C49-1</f>
        <v>1.8198189551211108</v>
      </c>
    </row>
    <row r="73" spans="1:5" x14ac:dyDescent="0.25">
      <c r="A73" s="27"/>
      <c r="B73" s="28"/>
      <c r="C73" s="28"/>
      <c r="D73" s="28"/>
      <c r="E73" s="29"/>
    </row>
    <row r="74" spans="1:5" ht="16.5" thickBot="1" x14ac:dyDescent="0.3">
      <c r="A74" s="72" t="s">
        <v>23</v>
      </c>
      <c r="B74" s="73"/>
      <c r="C74" s="73"/>
      <c r="D74" s="73"/>
      <c r="E74" s="76">
        <f>(E70/C49)^(1/10)-1</f>
        <v>0.10923131703835964</v>
      </c>
    </row>
  </sheetData>
  <conditionalFormatting sqref="L6:L8">
    <cfRule type="top10" dxfId="3" priority="6" percent="1" rank="10"/>
  </conditionalFormatting>
  <conditionalFormatting sqref="G6:J8">
    <cfRule type="top10" dxfId="2" priority="5" percent="1" rank="10"/>
  </conditionalFormatting>
  <conditionalFormatting sqref="L9">
    <cfRule type="top10" dxfId="1" priority="4" percent="1" rank="10"/>
  </conditionalFormatting>
  <conditionalFormatting sqref="L2:L5">
    <cfRule type="top10" dxfId="0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Pessimistisch</vt:lpstr>
      <vt:lpstr>Optimistisch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Jakob</dc:creator>
  <cp:lastModifiedBy>Christian Lämmle</cp:lastModifiedBy>
  <cp:lastPrinted>2021-08-03T18:16:56Z</cp:lastPrinted>
  <dcterms:created xsi:type="dcterms:W3CDTF">2020-02-09T06:30:31Z</dcterms:created>
  <dcterms:modified xsi:type="dcterms:W3CDTF">2022-04-08T20:05:33Z</dcterms:modified>
</cp:coreProperties>
</file>