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2b4952b37a507c8/Desktop/WirLiebenAktien/Aktienanalysen/Autodesk/"/>
    </mc:Choice>
  </mc:AlternateContent>
  <xr:revisionPtr revIDLastSave="238" documentId="13_ncr:1_{5B7E894B-7002-4BEF-A757-1B4A9DF51AA7}" xr6:coauthVersionLast="47" xr6:coauthVersionMax="47" xr10:uidLastSave="{502371BF-9C24-4E52-A6B1-0CA86A5D9D75}"/>
  <bookViews>
    <workbookView xWindow="-120" yWindow="-120" windowWidth="29040" windowHeight="15720" xr2:uid="{00000000-000D-0000-FFFF-FFFF00000000}"/>
  </bookViews>
  <sheets>
    <sheet name="Pessimistisch" sheetId="32" r:id="rId1"/>
    <sheet name="Optimistisch" sheetId="2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32" l="1"/>
  <c r="J18" i="27"/>
  <c r="K18" i="27" s="1"/>
  <c r="L18" i="27" s="1"/>
  <c r="M18" i="27" s="1"/>
  <c r="N18" i="27" s="1"/>
  <c r="O18" i="27" s="1"/>
  <c r="P18" i="27" s="1"/>
  <c r="Q18" i="27" s="1"/>
  <c r="I18" i="27"/>
  <c r="C49" i="32"/>
  <c r="I31" i="32"/>
  <c r="I33" i="32" s="1"/>
  <c r="D46" i="32" s="1"/>
  <c r="C55" i="32" s="1"/>
  <c r="I25" i="32"/>
  <c r="L18" i="32"/>
  <c r="M18" i="32" s="1"/>
  <c r="J18" i="32"/>
  <c r="I17" i="32"/>
  <c r="H17" i="32"/>
  <c r="G16" i="32"/>
  <c r="F16" i="32"/>
  <c r="E16" i="32"/>
  <c r="D16" i="32"/>
  <c r="C16" i="32"/>
  <c r="I57" i="32"/>
  <c r="J14" i="32"/>
  <c r="I14" i="32"/>
  <c r="I16" i="32" s="1"/>
  <c r="H14" i="32"/>
  <c r="G13" i="32"/>
  <c r="F13" i="32"/>
  <c r="E13" i="32"/>
  <c r="D13" i="32"/>
  <c r="C13" i="32"/>
  <c r="J12" i="32"/>
  <c r="I12" i="32"/>
  <c r="H12" i="32"/>
  <c r="G12" i="32"/>
  <c r="F12" i="32"/>
  <c r="E12" i="32"/>
  <c r="D12" i="32"/>
  <c r="K11" i="32"/>
  <c r="L11" i="32" s="1"/>
  <c r="H17" i="27"/>
  <c r="I17" i="27"/>
  <c r="J16" i="27"/>
  <c r="I16" i="27"/>
  <c r="I14" i="27"/>
  <c r="J14" i="27"/>
  <c r="H14" i="27"/>
  <c r="C49" i="27"/>
  <c r="I31" i="27"/>
  <c r="I33" i="27" s="1"/>
  <c r="I25" i="27"/>
  <c r="G16" i="27"/>
  <c r="F16" i="27"/>
  <c r="E16" i="27"/>
  <c r="D16" i="27"/>
  <c r="C16" i="27"/>
  <c r="J12" i="27"/>
  <c r="I12" i="27"/>
  <c r="H12" i="27"/>
  <c r="K11" i="27"/>
  <c r="L11" i="27" s="1"/>
  <c r="J17" i="32" l="1"/>
  <c r="J16" i="32"/>
  <c r="L14" i="32"/>
  <c r="L15" i="32" s="1"/>
  <c r="M11" i="32"/>
  <c r="H19" i="32"/>
  <c r="I19" i="32"/>
  <c r="J19" i="32"/>
  <c r="H57" i="32"/>
  <c r="K14" i="32"/>
  <c r="K15" i="32" s="1"/>
  <c r="H16" i="32"/>
  <c r="J57" i="32"/>
  <c r="H16" i="27"/>
  <c r="K14" i="27"/>
  <c r="K15" i="27" s="1"/>
  <c r="K16" i="27" s="1"/>
  <c r="M11" i="27"/>
  <c r="L14" i="27"/>
  <c r="L15" i="27" s="1"/>
  <c r="K57" i="32" l="1"/>
  <c r="K19" i="32"/>
  <c r="K17" i="32"/>
  <c r="K16" i="32"/>
  <c r="M14" i="32"/>
  <c r="M15" i="32" s="1"/>
  <c r="N11" i="32"/>
  <c r="L19" i="32"/>
  <c r="L17" i="32"/>
  <c r="L57" i="32"/>
  <c r="K17" i="27"/>
  <c r="M14" i="27"/>
  <c r="M15" i="27" s="1"/>
  <c r="N11" i="27"/>
  <c r="M19" i="32" l="1"/>
  <c r="M17" i="32"/>
  <c r="M57" i="32"/>
  <c r="N14" i="32"/>
  <c r="N15" i="32" s="1"/>
  <c r="O11" i="32"/>
  <c r="L17" i="27"/>
  <c r="N14" i="27"/>
  <c r="N15" i="27" s="1"/>
  <c r="O11" i="27"/>
  <c r="O14" i="32" l="1"/>
  <c r="O15" i="32" s="1"/>
  <c r="P11" i="32"/>
  <c r="N19" i="32"/>
  <c r="N17" i="32"/>
  <c r="N57" i="32"/>
  <c r="M17" i="27"/>
  <c r="O14" i="27"/>
  <c r="O15" i="27" s="1"/>
  <c r="P11" i="27"/>
  <c r="Q11" i="32" l="1"/>
  <c r="P14" i="32"/>
  <c r="P15" i="32" s="1"/>
  <c r="O17" i="32"/>
  <c r="O57" i="32"/>
  <c r="O19" i="32"/>
  <c r="N17" i="27"/>
  <c r="Q11" i="27"/>
  <c r="P14" i="27"/>
  <c r="P15" i="27" s="1"/>
  <c r="P17" i="32" l="1"/>
  <c r="P19" i="32"/>
  <c r="P57" i="32"/>
  <c r="Q14" i="32"/>
  <c r="Q15" i="32" s="1"/>
  <c r="D43" i="32" s="1"/>
  <c r="R11" i="32"/>
  <c r="R14" i="32" s="1"/>
  <c r="R15" i="32" s="1"/>
  <c r="O17" i="27"/>
  <c r="R11" i="27"/>
  <c r="R14" i="27" s="1"/>
  <c r="R15" i="27" s="1"/>
  <c r="Q14" i="27"/>
  <c r="Q15" i="27" s="1"/>
  <c r="Q57" i="32" l="1"/>
  <c r="D57" i="32" s="1"/>
  <c r="R19" i="32"/>
  <c r="D44" i="32"/>
  <c r="D40" i="32"/>
  <c r="D42" i="32"/>
  <c r="D41" i="32"/>
  <c r="Q17" i="32"/>
  <c r="Q19" i="32"/>
  <c r="Q17" i="27"/>
  <c r="P17" i="27"/>
  <c r="D46" i="27"/>
  <c r="C55" i="27" s="1"/>
  <c r="J57" i="27"/>
  <c r="E62" i="32" l="1"/>
  <c r="E66" i="32"/>
  <c r="E68" i="32" s="1"/>
  <c r="D49" i="32"/>
  <c r="D51" i="32" s="1"/>
  <c r="E62" i="27"/>
  <c r="J19" i="27"/>
  <c r="H19" i="27"/>
  <c r="I19" i="27"/>
  <c r="I57" i="27"/>
  <c r="H57" i="27"/>
  <c r="D53" i="32" l="1"/>
  <c r="D52" i="32"/>
  <c r="E70" i="32"/>
  <c r="K19" i="27"/>
  <c r="K57" i="27"/>
  <c r="L19" i="27"/>
  <c r="L57" i="27"/>
  <c r="E74" i="32" l="1"/>
  <c r="E72" i="32"/>
  <c r="M57" i="27"/>
  <c r="M19" i="27"/>
  <c r="N57" i="27" l="1"/>
  <c r="N19" i="27"/>
  <c r="O19" i="27" l="1"/>
  <c r="O57" i="27"/>
  <c r="P57" i="27" l="1"/>
  <c r="P19" i="27"/>
  <c r="D41" i="27"/>
  <c r="Q19" i="27" l="1"/>
  <c r="D40" i="27"/>
  <c r="D44" i="27"/>
  <c r="D42" i="27"/>
  <c r="D43" i="27"/>
  <c r="R19" i="27"/>
  <c r="D49" i="27" s="1"/>
  <c r="D51" i="27" s="1"/>
  <c r="Q57" i="27"/>
  <c r="D57" i="27" s="1"/>
  <c r="D53" i="27" l="1"/>
  <c r="D52" i="27"/>
  <c r="J17" i="27"/>
  <c r="E66" i="27"/>
  <c r="E68" i="27" l="1"/>
  <c r="E70" i="27" s="1"/>
  <c r="E72" i="27" l="1"/>
  <c r="E74" i="27"/>
</calcChain>
</file>

<file path=xl/sharedStrings.xml><?xml version="1.0" encoding="utf-8"?>
<sst xmlns="http://schemas.openxmlformats.org/spreadsheetml/2006/main" count="98" uniqueCount="48">
  <si>
    <t>Bewertung</t>
  </si>
  <si>
    <t>Umsatz-Wachstum, %</t>
  </si>
  <si>
    <t>Unterbewertung</t>
  </si>
  <si>
    <t>Fairer Wert</t>
  </si>
  <si>
    <t>Umsatz</t>
  </si>
  <si>
    <t>Marktkapitalisierung, Mio.</t>
  </si>
  <si>
    <t>Verhältnis EBIT zu Konzerngewinn:</t>
  </si>
  <si>
    <t>EK Quote:</t>
  </si>
  <si>
    <t>Vereinfachter WACC:</t>
  </si>
  <si>
    <t>Schätzungen »</t>
  </si>
  <si>
    <t>Discounted Net-Profit Modell</t>
  </si>
  <si>
    <t>Anzahl Aktien gesamt, Mio.</t>
  </si>
  <si>
    <t>Abgezinster Gewinn:</t>
  </si>
  <si>
    <t xml:space="preserve">Kurs pro Aktie </t>
  </si>
  <si>
    <t>Überbewertung</t>
  </si>
  <si>
    <t>EBIT Marge, %</t>
  </si>
  <si>
    <t>EBIT</t>
  </si>
  <si>
    <t xml:space="preserve">Ausschüttungsquote </t>
  </si>
  <si>
    <t xml:space="preserve">Ausgeschüttete Gewinne </t>
  </si>
  <si>
    <t>Quellensteuer</t>
  </si>
  <si>
    <t>Gesamtwert 2031</t>
  </si>
  <si>
    <t>Steigerung Gesamt bis 2031 in Prozent</t>
  </si>
  <si>
    <t>Renditeerwartung bis 2031 pro Jahr</t>
  </si>
  <si>
    <t>Eigenkapitalzins</t>
  </si>
  <si>
    <t>EK-Zins</t>
  </si>
  <si>
    <t xml:space="preserve">Umsatzmultiple </t>
  </si>
  <si>
    <t>Nullzinsmarkterwartung:</t>
  </si>
  <si>
    <t>Abgezinster Gewinn in Mrd. USD:</t>
  </si>
  <si>
    <t>Eigenkapitalverzinsung</t>
  </si>
  <si>
    <t>Risikoloser Basiszins:</t>
  </si>
  <si>
    <t>rF</t>
  </si>
  <si>
    <t>Risikoprämie:</t>
  </si>
  <si>
    <t>Marktrendite:</t>
  </si>
  <si>
    <t>rM</t>
  </si>
  <si>
    <t>ß</t>
  </si>
  <si>
    <t xml:space="preserve">Eigenkapitalkosten: </t>
  </si>
  <si>
    <t>rE</t>
  </si>
  <si>
    <t xml:space="preserve">Alle Angaben in Mio. </t>
  </si>
  <si>
    <t>Keine Rundung</t>
  </si>
  <si>
    <t>USD</t>
  </si>
  <si>
    <t>Beta Faktor:</t>
  </si>
  <si>
    <t xml:space="preserve"> Annahmen für Autodesk</t>
  </si>
  <si>
    <t>2033ff.</t>
  </si>
  <si>
    <t>Gewinn je Aktie</t>
  </si>
  <si>
    <t>Gewinn je Aktie multipliziert mit fiktivem KGV</t>
  </si>
  <si>
    <t>Anzahl der Aktien in Mio. diluted (geschätzt)</t>
  </si>
  <si>
    <t>Gewinn (abzgl. Steuern, Zinsen und GAAP)</t>
  </si>
  <si>
    <t>KGV Multiple in 2032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</si>
</sst>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%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6" fillId="2" borderId="0" xfId="0" applyFont="1" applyFill="1"/>
    <xf numFmtId="0" fontId="0" fillId="3" borderId="0" xfId="0" applyFill="1"/>
    <xf numFmtId="0" fontId="4" fillId="3" borderId="0" xfId="0" applyFont="1" applyFill="1" applyAlignment="1">
      <alignment vertical="center" wrapText="1"/>
    </xf>
    <xf numFmtId="0" fontId="8" fillId="2" borderId="0" xfId="0" applyFont="1" applyFill="1"/>
    <xf numFmtId="9" fontId="8" fillId="2" borderId="0" xfId="1" applyFont="1" applyFill="1"/>
    <xf numFmtId="0" fontId="0" fillId="4" borderId="0" xfId="0" applyFill="1"/>
    <xf numFmtId="0" fontId="4" fillId="4" borderId="0" xfId="0" applyFont="1" applyFill="1"/>
    <xf numFmtId="0" fontId="3" fillId="4" borderId="0" xfId="0" applyFont="1" applyFill="1"/>
    <xf numFmtId="0" fontId="4" fillId="5" borderId="0" xfId="0" applyFont="1" applyFill="1"/>
    <xf numFmtId="9" fontId="2" fillId="6" borderId="0" xfId="1" applyFont="1" applyFill="1"/>
    <xf numFmtId="165" fontId="2" fillId="7" borderId="0" xfId="1" applyNumberFormat="1" applyFont="1" applyFill="1"/>
    <xf numFmtId="0" fontId="0" fillId="2" borderId="1" xfId="0" applyFill="1" applyBorder="1" applyAlignment="1">
      <alignment wrapText="1"/>
    </xf>
    <xf numFmtId="0" fontId="7" fillId="2" borderId="2" xfId="0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0" fontId="4" fillId="6" borderId="0" xfId="0" applyFont="1" applyFill="1" applyAlignment="1">
      <alignment horizontal="right"/>
    </xf>
    <xf numFmtId="0" fontId="6" fillId="6" borderId="0" xfId="0" applyFont="1" applyFill="1"/>
    <xf numFmtId="0" fontId="9" fillId="6" borderId="0" xfId="0" applyFont="1" applyFill="1"/>
    <xf numFmtId="4" fontId="4" fillId="6" borderId="0" xfId="0" applyNumberFormat="1" applyFont="1" applyFill="1"/>
    <xf numFmtId="0" fontId="4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10" fontId="0" fillId="2" borderId="0" xfId="0" applyNumberForma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0" fillId="2" borderId="0" xfId="0" applyFont="1" applyFill="1"/>
    <xf numFmtId="4" fontId="4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/>
    <xf numFmtId="165" fontId="2" fillId="2" borderId="0" xfId="1" applyNumberFormat="1" applyFont="1" applyFill="1" applyBorder="1"/>
    <xf numFmtId="3" fontId="4" fillId="2" borderId="0" xfId="0" applyNumberFormat="1" applyFont="1" applyFill="1" applyBorder="1"/>
    <xf numFmtId="165" fontId="4" fillId="2" borderId="0" xfId="1" applyNumberFormat="1" applyFont="1" applyFill="1" applyBorder="1"/>
    <xf numFmtId="9" fontId="0" fillId="2" borderId="0" xfId="1" applyNumberFormat="1" applyFont="1" applyFill="1" applyBorder="1"/>
    <xf numFmtId="9" fontId="0" fillId="2" borderId="0" xfId="0" applyNumberFormat="1" applyFill="1" applyBorder="1"/>
    <xf numFmtId="9" fontId="4" fillId="2" borderId="0" xfId="0" applyNumberFormat="1" applyFont="1" applyFill="1" applyBorder="1"/>
    <xf numFmtId="9" fontId="0" fillId="2" borderId="0" xfId="1" applyFont="1" applyFill="1" applyBorder="1"/>
    <xf numFmtId="10" fontId="4" fillId="2" borderId="10" xfId="0" applyNumberFormat="1" applyFont="1" applyFill="1" applyBorder="1"/>
    <xf numFmtId="0" fontId="4" fillId="8" borderId="0" xfId="0" applyFont="1" applyFill="1" applyAlignment="1">
      <alignment vertical="center" wrapText="1"/>
    </xf>
    <xf numFmtId="0" fontId="0" fillId="8" borderId="0" xfId="0" applyFill="1"/>
    <xf numFmtId="3" fontId="0" fillId="8" borderId="0" xfId="0" applyNumberFormat="1" applyFont="1" applyFill="1"/>
    <xf numFmtId="4" fontId="8" fillId="8" borderId="0" xfId="0" applyNumberFormat="1" applyFont="1" applyFill="1"/>
    <xf numFmtId="0" fontId="4" fillId="8" borderId="0" xfId="0" applyFont="1" applyFill="1"/>
    <xf numFmtId="1" fontId="2" fillId="8" borderId="0" xfId="1" applyNumberFormat="1" applyFont="1" applyFill="1"/>
    <xf numFmtId="10" fontId="4" fillId="8" borderId="0" xfId="1" applyNumberFormat="1" applyFont="1" applyFill="1"/>
    <xf numFmtId="0" fontId="0" fillId="2" borderId="1" xfId="0" applyFill="1" applyBorder="1"/>
    <xf numFmtId="0" fontId="8" fillId="2" borderId="2" xfId="0" applyFont="1" applyFill="1" applyBorder="1"/>
    <xf numFmtId="2" fontId="6" fillId="2" borderId="2" xfId="0" applyNumberFormat="1" applyFont="1" applyFill="1" applyBorder="1"/>
    <xf numFmtId="2" fontId="6" fillId="2" borderId="3" xfId="0" applyNumberFormat="1" applyFont="1" applyFill="1" applyBorder="1"/>
    <xf numFmtId="0" fontId="9" fillId="7" borderId="0" xfId="0" applyFont="1" applyFill="1" applyAlignment="1">
      <alignment horizontal="right" vertical="center"/>
    </xf>
    <xf numFmtId="0" fontId="4" fillId="7" borderId="0" xfId="0" applyFont="1" applyFill="1"/>
    <xf numFmtId="9" fontId="0" fillId="7" borderId="0" xfId="1" applyFont="1" applyFill="1"/>
    <xf numFmtId="4" fontId="0" fillId="8" borderId="0" xfId="0" applyNumberFormat="1" applyFill="1"/>
    <xf numFmtId="9" fontId="0" fillId="9" borderId="0" xfId="1" applyFont="1" applyFill="1"/>
    <xf numFmtId="9" fontId="4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5" fillId="2" borderId="8" xfId="0" quotePrefix="1" applyNumberFormat="1" applyFont="1" applyFill="1" applyBorder="1"/>
    <xf numFmtId="10" fontId="0" fillId="2" borderId="7" xfId="0" applyNumberFormat="1" applyFill="1" applyBorder="1"/>
    <xf numFmtId="4" fontId="11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4" fillId="2" borderId="0" xfId="1" applyNumberFormat="1" applyFont="1" applyFill="1"/>
    <xf numFmtId="1" fontId="2" fillId="2" borderId="0" xfId="1" applyNumberFormat="1" applyFont="1" applyFill="1"/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9" fontId="0" fillId="2" borderId="0" xfId="1" applyFont="1" applyFill="1"/>
    <xf numFmtId="4" fontId="0" fillId="8" borderId="0" xfId="0" applyNumberFormat="1" applyFont="1" applyFill="1"/>
    <xf numFmtId="165" fontId="0" fillId="7" borderId="0" xfId="1" applyNumberFormat="1" applyFont="1" applyFill="1"/>
    <xf numFmtId="4" fontId="0" fillId="7" borderId="0" xfId="0" applyNumberFormat="1" applyFont="1" applyFill="1"/>
    <xf numFmtId="10" fontId="0" fillId="8" borderId="0" xfId="0" applyNumberFormat="1" applyFill="1"/>
    <xf numFmtId="4" fontId="2" fillId="8" borderId="0" xfId="1" applyNumberFormat="1" applyFont="1" applyFill="1"/>
    <xf numFmtId="0" fontId="0" fillId="2" borderId="0" xfId="0" quotePrefix="1" applyFill="1"/>
    <xf numFmtId="0" fontId="4" fillId="2" borderId="7" xfId="0" applyFont="1" applyFill="1" applyBorder="1"/>
    <xf numFmtId="0" fontId="4" fillId="2" borderId="0" xfId="0" applyFont="1" applyFill="1" applyBorder="1"/>
    <xf numFmtId="10" fontId="4" fillId="2" borderId="0" xfId="0" applyNumberFormat="1" applyFont="1" applyFill="1" applyBorder="1"/>
    <xf numFmtId="10" fontId="0" fillId="2" borderId="5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0" fontId="0" fillId="2" borderId="0" xfId="1" applyNumberFormat="1" applyFont="1" applyFill="1" applyBorder="1" applyAlignment="1">
      <alignment horizontal="right"/>
    </xf>
    <xf numFmtId="10" fontId="0" fillId="2" borderId="0" xfId="0" applyNumberFormat="1" applyFill="1" applyBorder="1" applyAlignment="1">
      <alignment horizontal="right"/>
    </xf>
    <xf numFmtId="9" fontId="8" fillId="7" borderId="0" xfId="1" applyFont="1" applyFill="1"/>
    <xf numFmtId="4" fontId="8" fillId="5" borderId="0" xfId="0" applyNumberFormat="1" applyFont="1" applyFill="1"/>
    <xf numFmtId="165" fontId="0" fillId="10" borderId="10" xfId="1" applyNumberFormat="1" applyFont="1" applyFill="1" applyBorder="1"/>
    <xf numFmtId="9" fontId="0" fillId="2" borderId="0" xfId="0" applyNumberFormat="1" applyFill="1"/>
    <xf numFmtId="9" fontId="8" fillId="5" borderId="0" xfId="1" applyFont="1" applyFill="1"/>
    <xf numFmtId="164" fontId="9" fillId="6" borderId="0" xfId="0" applyNumberFormat="1" applyFont="1" applyFill="1"/>
  </cellXfs>
  <cellStyles count="5">
    <cellStyle name="Prozent" xfId="1" builtinId="5"/>
    <cellStyle name="Prozent 2" xfId="2" xr:uid="{00000000-0005-0000-0000-000001000000}"/>
    <cellStyle name="Prozent 3" xfId="4" xr:uid="{00000000-0005-0000-0000-000002000000}"/>
    <cellStyle name="Standard" xfId="0" builtinId="0"/>
    <cellStyle name="Standard 2" xfId="3" xr:uid="{00000000-0005-0000-0000-000004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99FF"/>
      <color rgb="FFFFCC99"/>
      <color rgb="FFFFCC66"/>
      <color rgb="FFFFEB7D"/>
      <color rgb="FF009900"/>
      <color rgb="FFCCCCFF"/>
      <color rgb="FF9966FF"/>
      <color rgb="FF9900CC"/>
      <color rgb="FFFFD802"/>
      <color rgb="FFFFF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672732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74A3B2B-061E-42EB-AB1A-BED6F37A5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64091" y="4656666"/>
          <a:ext cx="3582091" cy="138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672732</xdr:colOff>
      <xdr:row>29</xdr:row>
      <xdr:rowOff>73441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67B06B0-69CD-4B51-A333-8E6E13D77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22249" y="4910666"/>
          <a:ext cx="3572566" cy="13900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CB34D-A856-4E94-9389-3AD72615DA53}">
  <dimension ref="A2:AB74"/>
  <sheetViews>
    <sheetView tabSelected="1" topLeftCell="A29" zoomScale="90" zoomScaleNormal="90" workbookViewId="0">
      <selection activeCell="A60" sqref="A60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9" width="12.375" style="1" bestFit="1" customWidth="1"/>
    <col min="10" max="16" width="13.375" style="1" bestFit="1" customWidth="1"/>
    <col min="17" max="18" width="10.625" style="1" customWidth="1"/>
    <col min="19" max="16384" width="10.625" style="1"/>
  </cols>
  <sheetData>
    <row r="2" spans="1:28" ht="26.25" x14ac:dyDescent="0.4">
      <c r="B2" s="33" t="s">
        <v>10</v>
      </c>
    </row>
    <row r="4" spans="1:28" x14ac:dyDescent="0.25">
      <c r="B4" s="23" t="s">
        <v>41</v>
      </c>
      <c r="L4" s="27"/>
      <c r="M4" s="27"/>
      <c r="N4" s="27"/>
      <c r="O4" s="27"/>
      <c r="P4" s="27"/>
      <c r="Q4" s="27"/>
      <c r="R4" s="27"/>
      <c r="S4" s="27"/>
    </row>
    <row r="5" spans="1:28" x14ac:dyDescent="0.25">
      <c r="L5" s="27"/>
      <c r="M5" s="27"/>
      <c r="N5" s="27"/>
      <c r="O5" s="27"/>
      <c r="P5" s="27"/>
      <c r="Q5" s="27"/>
      <c r="R5" s="27"/>
      <c r="S5" s="27"/>
    </row>
    <row r="6" spans="1:28" x14ac:dyDescent="0.25">
      <c r="B6" s="1" t="s">
        <v>37</v>
      </c>
      <c r="L6" s="27"/>
      <c r="M6" s="27"/>
      <c r="N6" s="27"/>
      <c r="O6" s="27"/>
      <c r="P6" s="27"/>
      <c r="Q6" s="27"/>
      <c r="R6" s="27"/>
      <c r="S6" s="27"/>
    </row>
    <row r="9" spans="1:28" s="8" customFormat="1" x14ac:dyDescent="0.25">
      <c r="H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2018</v>
      </c>
      <c r="D10" s="11">
        <v>2019</v>
      </c>
      <c r="E10" s="11">
        <v>2020</v>
      </c>
      <c r="F10" s="11">
        <v>2021</v>
      </c>
      <c r="G10" s="11">
        <v>2022</v>
      </c>
      <c r="H10" s="60">
        <v>2023</v>
      </c>
      <c r="I10" s="60">
        <v>2024</v>
      </c>
      <c r="J10" s="60">
        <v>2025</v>
      </c>
      <c r="K10" s="60">
        <v>2026</v>
      </c>
      <c r="L10" s="60">
        <v>2027</v>
      </c>
      <c r="M10" s="60">
        <v>2028</v>
      </c>
      <c r="N10" s="60">
        <v>2029</v>
      </c>
      <c r="O10" s="60">
        <v>2030</v>
      </c>
      <c r="P10" s="60">
        <v>2031</v>
      </c>
      <c r="Q10" s="60">
        <v>2032</v>
      </c>
      <c r="R10" s="59" t="s">
        <v>42</v>
      </c>
    </row>
    <row r="11" spans="1:28" x14ac:dyDescent="0.25">
      <c r="A11" s="5"/>
      <c r="B11" s="4" t="s">
        <v>4</v>
      </c>
      <c r="C11" s="93">
        <v>2060</v>
      </c>
      <c r="D11" s="93">
        <v>2570</v>
      </c>
      <c r="E11" s="93">
        <v>3270</v>
      </c>
      <c r="F11" s="93">
        <v>3790.4</v>
      </c>
      <c r="G11" s="93">
        <v>4386.3999999999996</v>
      </c>
      <c r="H11" s="81">
        <v>5078.5</v>
      </c>
      <c r="I11" s="81">
        <v>5500</v>
      </c>
      <c r="J11" s="81">
        <v>6000</v>
      </c>
      <c r="K11" s="81">
        <f>J11*(1+K12)</f>
        <v>6540.0000000000009</v>
      </c>
      <c r="L11" s="81">
        <f t="shared" ref="L11:R11" si="0">K11*(1+L12)</f>
        <v>7128.6000000000013</v>
      </c>
      <c r="M11" s="81">
        <f t="shared" si="0"/>
        <v>7698.8880000000017</v>
      </c>
      <c r="N11" s="81">
        <f t="shared" si="0"/>
        <v>8160.8212800000019</v>
      </c>
      <c r="O11" s="81">
        <f t="shared" si="0"/>
        <v>8650.4705568000027</v>
      </c>
      <c r="P11" s="81">
        <f t="shared" si="0"/>
        <v>9169.4987902080029</v>
      </c>
      <c r="Q11" s="81">
        <f t="shared" si="0"/>
        <v>9536.2787418163225</v>
      </c>
      <c r="R11" s="81">
        <f t="shared" si="0"/>
        <v>9679.3229229435656</v>
      </c>
    </row>
    <row r="12" spans="1:28" x14ac:dyDescent="0.25">
      <c r="A12" s="5"/>
      <c r="B12" s="4" t="s">
        <v>1</v>
      </c>
      <c r="C12" s="96"/>
      <c r="D12" s="96">
        <f t="shared" ref="D12:J12" si="1">D11/C11-1</f>
        <v>0.24757281553398047</v>
      </c>
      <c r="E12" s="96">
        <f t="shared" si="1"/>
        <v>0.27237354085603105</v>
      </c>
      <c r="F12" s="96">
        <f t="shared" si="1"/>
        <v>0.15914373088685019</v>
      </c>
      <c r="G12" s="96">
        <f t="shared" si="1"/>
        <v>0.15723934149430119</v>
      </c>
      <c r="H12" s="92">
        <f t="shared" si="1"/>
        <v>0.15778314791172732</v>
      </c>
      <c r="I12" s="92">
        <f t="shared" si="1"/>
        <v>8.2996947917692188E-2</v>
      </c>
      <c r="J12" s="92">
        <f t="shared" si="1"/>
        <v>9.0909090909090828E-2</v>
      </c>
      <c r="K12" s="92">
        <v>0.09</v>
      </c>
      <c r="L12" s="61">
        <v>0.09</v>
      </c>
      <c r="M12" s="61">
        <v>0.08</v>
      </c>
      <c r="N12" s="61">
        <v>0.06</v>
      </c>
      <c r="O12" s="61">
        <v>0.06</v>
      </c>
      <c r="P12" s="61">
        <v>0.06</v>
      </c>
      <c r="Q12" s="61">
        <v>0.04</v>
      </c>
      <c r="R12" s="13">
        <v>1.4999999999999999E-2</v>
      </c>
    </row>
    <row r="13" spans="1:28" ht="15.95" customHeight="1" x14ac:dyDescent="0.25">
      <c r="A13" s="5"/>
      <c r="B13" s="4" t="s">
        <v>15</v>
      </c>
      <c r="C13" s="96">
        <f t="shared" ref="C13:G13" si="2">C14/C11</f>
        <v>-5.3398058252427182E-2</v>
      </c>
      <c r="D13" s="96">
        <f t="shared" si="2"/>
        <v>0.1245136186770428</v>
      </c>
      <c r="E13" s="96">
        <f t="shared" si="2"/>
        <v>0.24464831804281345</v>
      </c>
      <c r="F13" s="96">
        <f t="shared" si="2"/>
        <v>0.29284508231321232</v>
      </c>
      <c r="G13" s="96">
        <f t="shared" si="2"/>
        <v>0.31916833850082077</v>
      </c>
      <c r="H13" s="80">
        <v>0.3629</v>
      </c>
      <c r="I13" s="80">
        <v>0.38190000000000002</v>
      </c>
      <c r="J13" s="80">
        <v>0.4022</v>
      </c>
      <c r="K13" s="80">
        <v>0.4</v>
      </c>
      <c r="L13" s="80">
        <v>0.40500000000000003</v>
      </c>
      <c r="M13" s="80">
        <v>-0.1</v>
      </c>
      <c r="N13" s="80">
        <v>0.38</v>
      </c>
      <c r="O13" s="80">
        <v>0.37</v>
      </c>
      <c r="P13" s="80">
        <v>0.36</v>
      </c>
      <c r="Q13" s="80">
        <v>0.37</v>
      </c>
      <c r="R13" s="80">
        <v>0.37</v>
      </c>
    </row>
    <row r="14" spans="1:28" ht="17.100000000000001" customHeight="1" x14ac:dyDescent="0.25">
      <c r="A14" s="5"/>
      <c r="B14" s="4" t="s">
        <v>16</v>
      </c>
      <c r="C14" s="93">
        <v>-110</v>
      </c>
      <c r="D14" s="93">
        <v>320</v>
      </c>
      <c r="E14" s="93">
        <v>800</v>
      </c>
      <c r="F14" s="93">
        <v>1110</v>
      </c>
      <c r="G14" s="93">
        <v>1400</v>
      </c>
      <c r="H14" s="81">
        <f>H11*H13</f>
        <v>1842.98765</v>
      </c>
      <c r="I14" s="81">
        <f t="shared" ref="I14:R14" si="3">I11*I13</f>
        <v>2100.4500000000003</v>
      </c>
      <c r="J14" s="81">
        <f t="shared" si="3"/>
        <v>2413.1999999999998</v>
      </c>
      <c r="K14" s="81">
        <f t="shared" si="3"/>
        <v>2616.0000000000005</v>
      </c>
      <c r="L14" s="81">
        <f t="shared" si="3"/>
        <v>2887.0830000000005</v>
      </c>
      <c r="M14" s="81">
        <f t="shared" si="3"/>
        <v>-769.88880000000017</v>
      </c>
      <c r="N14" s="81">
        <f t="shared" si="3"/>
        <v>3101.1120864000009</v>
      </c>
      <c r="O14" s="81">
        <f t="shared" si="3"/>
        <v>3200.6741060160011</v>
      </c>
      <c r="P14" s="81">
        <f t="shared" si="3"/>
        <v>3301.019564474881</v>
      </c>
      <c r="Q14" s="81">
        <f t="shared" si="3"/>
        <v>3528.4231344720392</v>
      </c>
      <c r="R14" s="81">
        <f t="shared" si="3"/>
        <v>3581.3494814891192</v>
      </c>
    </row>
    <row r="15" spans="1:28" x14ac:dyDescent="0.25">
      <c r="A15" s="12">
        <v>0.35</v>
      </c>
      <c r="B15" s="4" t="s">
        <v>46</v>
      </c>
      <c r="C15" s="93">
        <v>-570</v>
      </c>
      <c r="D15" s="93">
        <v>-80</v>
      </c>
      <c r="E15" s="93">
        <v>210</v>
      </c>
      <c r="F15" s="93">
        <v>1210</v>
      </c>
      <c r="G15" s="93">
        <v>500</v>
      </c>
      <c r="H15" s="81">
        <v>900</v>
      </c>
      <c r="I15" s="81">
        <v>1080</v>
      </c>
      <c r="J15" s="81">
        <v>1420</v>
      </c>
      <c r="K15" s="81">
        <f t="shared" ref="K15:Q15" si="4">K14*(1-$A$15)</f>
        <v>1700.4000000000003</v>
      </c>
      <c r="L15" s="81">
        <f t="shared" si="4"/>
        <v>1876.6039500000004</v>
      </c>
      <c r="M15" s="81">
        <f t="shared" si="4"/>
        <v>-500.42772000000014</v>
      </c>
      <c r="N15" s="81">
        <f t="shared" si="4"/>
        <v>2015.7228561600007</v>
      </c>
      <c r="O15" s="81">
        <f t="shared" si="4"/>
        <v>2080.4381689104007</v>
      </c>
      <c r="P15" s="81">
        <f t="shared" si="4"/>
        <v>2145.6627169086728</v>
      </c>
      <c r="Q15" s="81">
        <f t="shared" si="4"/>
        <v>2293.4750374068258</v>
      </c>
      <c r="R15" s="81">
        <f>R14*(1-$A$15)</f>
        <v>2327.8771629679277</v>
      </c>
    </row>
    <row r="16" spans="1:28" ht="32.25" hidden="1" thickBot="1" x14ac:dyDescent="0.3">
      <c r="A16" s="14" t="s">
        <v>6</v>
      </c>
      <c r="B16" s="15"/>
      <c r="C16" s="16">
        <f t="shared" ref="C16:K16" si="5">C15/C14</f>
        <v>5.1818181818181817</v>
      </c>
      <c r="D16" s="16">
        <f t="shared" si="5"/>
        <v>-0.25</v>
      </c>
      <c r="E16" s="16">
        <f t="shared" si="5"/>
        <v>0.26250000000000001</v>
      </c>
      <c r="F16" s="16">
        <f t="shared" si="5"/>
        <v>1.0900900900900901</v>
      </c>
      <c r="G16" s="16">
        <f t="shared" si="5"/>
        <v>0.35714285714285715</v>
      </c>
      <c r="H16" s="16">
        <f t="shared" si="5"/>
        <v>0.48833751002075354</v>
      </c>
      <c r="I16" s="16">
        <f t="shared" si="5"/>
        <v>0.51417553381418257</v>
      </c>
      <c r="J16" s="16">
        <f t="shared" si="5"/>
        <v>0.58843030001657559</v>
      </c>
      <c r="K16" s="16">
        <f t="shared" si="5"/>
        <v>0.65</v>
      </c>
    </row>
    <row r="17" spans="1:18" x14ac:dyDescent="0.25">
      <c r="A17" s="2" t="s">
        <v>43</v>
      </c>
      <c r="C17" s="93"/>
      <c r="D17" s="93"/>
      <c r="E17" s="93"/>
      <c r="F17" s="93"/>
      <c r="G17" s="93"/>
      <c r="H17" s="81">
        <f>H15/H18</f>
        <v>4.0540540540540544</v>
      </c>
      <c r="I17" s="81">
        <f t="shared" ref="I17:Q17" si="6">I15/I18</f>
        <v>4.8648648648648649</v>
      </c>
      <c r="J17" s="81">
        <f t="shared" si="6"/>
        <v>6.3963963963963968</v>
      </c>
      <c r="K17" s="81">
        <f t="shared" si="6"/>
        <v>7.6941176470588246</v>
      </c>
      <c r="L17" s="81">
        <f t="shared" si="6"/>
        <v>8.4914205882352967</v>
      </c>
      <c r="M17" s="81">
        <f t="shared" si="6"/>
        <v>-2.2643788235294124</v>
      </c>
      <c r="N17" s="81">
        <f t="shared" si="6"/>
        <v>9.1623766189090947</v>
      </c>
      <c r="O17" s="81">
        <f t="shared" si="6"/>
        <v>9.4997176662575367</v>
      </c>
      <c r="P17" s="81">
        <f t="shared" si="6"/>
        <v>9.8424895271040036</v>
      </c>
      <c r="Q17" s="81">
        <f t="shared" si="6"/>
        <v>10.569009388971548</v>
      </c>
      <c r="R17" s="81"/>
    </row>
    <row r="18" spans="1:18" ht="32.25" thickBot="1" x14ac:dyDescent="0.3">
      <c r="A18" s="2" t="s">
        <v>45</v>
      </c>
      <c r="C18" s="93"/>
      <c r="D18" s="93"/>
      <c r="E18" s="93"/>
      <c r="F18" s="93"/>
      <c r="G18" s="93"/>
      <c r="H18" s="81">
        <v>222</v>
      </c>
      <c r="I18" s="81">
        <f>H18</f>
        <v>222</v>
      </c>
      <c r="J18" s="81">
        <f t="shared" ref="J18:M18" si="7">I18</f>
        <v>222</v>
      </c>
      <c r="K18" s="81">
        <v>221</v>
      </c>
      <c r="L18" s="81">
        <f t="shared" si="7"/>
        <v>221</v>
      </c>
      <c r="M18" s="81">
        <f t="shared" si="7"/>
        <v>221</v>
      </c>
      <c r="N18" s="81">
        <v>220</v>
      </c>
      <c r="O18" s="81">
        <v>219</v>
      </c>
      <c r="P18" s="81">
        <v>218</v>
      </c>
      <c r="Q18" s="81">
        <v>217</v>
      </c>
      <c r="R18" s="81"/>
    </row>
    <row r="19" spans="1:18" ht="16.5" thickBot="1" x14ac:dyDescent="0.3">
      <c r="A19" s="2"/>
      <c r="F19" s="55" t="s">
        <v>12</v>
      </c>
      <c r="G19" s="56"/>
      <c r="H19" s="57">
        <f>H15/(1+$C$55)</f>
        <v>834.68583352654775</v>
      </c>
      <c r="I19" s="57">
        <f>I15/(1+$C$55)^2</f>
        <v>928.93392091987698</v>
      </c>
      <c r="J19" s="57">
        <f>J15/(1+$C$55)^3</f>
        <v>1132.7392359930145</v>
      </c>
      <c r="K19" s="57">
        <f>K15/(1+$C$55)^4</f>
        <v>1257.9785299487774</v>
      </c>
      <c r="L19" s="57">
        <f>L15/(1+$C$55)^5</f>
        <v>1287.5831719125617</v>
      </c>
      <c r="M19" s="57">
        <f>M15/(1+$C$55)^6</f>
        <v>-318.4377579503979</v>
      </c>
      <c r="N19" s="57">
        <f>N15/(1+$C$55)^7</f>
        <v>1189.5824614182266</v>
      </c>
      <c r="O19" s="57">
        <f>O15/(1+$C$55)^8</f>
        <v>1138.6731457362159</v>
      </c>
      <c r="P19" s="57">
        <f>P15/(1+$C$55)^9</f>
        <v>1089.146383123154</v>
      </c>
      <c r="Q19" s="57">
        <f>Q15/(1+$C$55)^10</f>
        <v>1079.6906721946305</v>
      </c>
      <c r="R19" s="58">
        <f>(R15/(C55-R12))/(1+C55)^10</f>
        <v>17326.261379882209</v>
      </c>
    </row>
    <row r="20" spans="1:18" x14ac:dyDescent="0.25">
      <c r="A20" s="2"/>
      <c r="C20" s="84"/>
      <c r="D20" s="95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P21" s="3"/>
      <c r="Q21" s="3"/>
      <c r="R21" s="3"/>
    </row>
    <row r="22" spans="1:18" ht="16.5" thickBot="1" x14ac:dyDescent="0.3">
      <c r="P22" s="3"/>
      <c r="Q22" s="3"/>
      <c r="R22" s="3"/>
    </row>
    <row r="23" spans="1:18" x14ac:dyDescent="0.25">
      <c r="A23" s="34" t="s">
        <v>28</v>
      </c>
      <c r="B23" s="35"/>
      <c r="C23" s="35"/>
      <c r="D23" s="36"/>
      <c r="E23" s="24"/>
      <c r="F23" s="35"/>
      <c r="G23" s="65" t="s">
        <v>29</v>
      </c>
      <c r="H23" s="24"/>
      <c r="I23" s="88">
        <v>1.4999999999999999E-2</v>
      </c>
      <c r="J23" s="25" t="s">
        <v>30</v>
      </c>
    </row>
    <row r="24" spans="1:18" x14ac:dyDescent="0.25">
      <c r="A24" s="37"/>
      <c r="B24" s="38"/>
      <c r="C24" s="38"/>
      <c r="D24" s="39"/>
      <c r="E24" s="38"/>
      <c r="F24" s="38"/>
      <c r="G24" s="26"/>
      <c r="H24" s="27"/>
      <c r="I24" s="89"/>
      <c r="J24" s="28"/>
    </row>
    <row r="25" spans="1:18" x14ac:dyDescent="0.25">
      <c r="A25" s="37"/>
      <c r="B25" s="38"/>
      <c r="C25" s="38"/>
      <c r="D25" s="40"/>
      <c r="E25" s="27"/>
      <c r="F25" s="38"/>
      <c r="G25" s="26" t="s">
        <v>31</v>
      </c>
      <c r="H25" s="27"/>
      <c r="I25" s="90">
        <f>(I27-I23)*I29</f>
        <v>6.3250000000000001E-2</v>
      </c>
      <c r="J25" s="28"/>
    </row>
    <row r="26" spans="1:18" x14ac:dyDescent="0.25">
      <c r="A26" s="37"/>
      <c r="B26" s="38"/>
      <c r="C26" s="38"/>
      <c r="D26" s="40"/>
      <c r="E26" s="27"/>
      <c r="F26" s="38"/>
      <c r="G26" s="26"/>
      <c r="H26" s="27"/>
      <c r="I26" s="89"/>
      <c r="J26" s="28"/>
    </row>
    <row r="27" spans="1:18" x14ac:dyDescent="0.25">
      <c r="A27" s="37"/>
      <c r="B27" s="38"/>
      <c r="C27" s="38"/>
      <c r="D27" s="40"/>
      <c r="E27" s="27"/>
      <c r="F27" s="38"/>
      <c r="G27" s="26" t="s">
        <v>32</v>
      </c>
      <c r="H27" s="27"/>
      <c r="I27" s="91">
        <v>7.0000000000000007E-2</v>
      </c>
      <c r="J27" s="28" t="s">
        <v>33</v>
      </c>
    </row>
    <row r="28" spans="1:18" x14ac:dyDescent="0.25">
      <c r="A28" s="37"/>
      <c r="B28" s="38"/>
      <c r="C28" s="38"/>
      <c r="D28" s="41"/>
      <c r="E28" s="27"/>
      <c r="F28" s="38"/>
      <c r="G28" s="26"/>
      <c r="H28" s="27"/>
      <c r="I28" s="89"/>
      <c r="J28" s="28"/>
    </row>
    <row r="29" spans="1:18" x14ac:dyDescent="0.25">
      <c r="A29" s="37"/>
      <c r="B29" s="38"/>
      <c r="C29" s="38"/>
      <c r="D29" s="41"/>
      <c r="E29" s="27"/>
      <c r="F29" s="38"/>
      <c r="G29" s="26" t="s">
        <v>40</v>
      </c>
      <c r="H29" s="27"/>
      <c r="I29" s="89">
        <v>1.1499999999999999</v>
      </c>
      <c r="J29" s="28" t="s">
        <v>34</v>
      </c>
    </row>
    <row r="30" spans="1:18" x14ac:dyDescent="0.25">
      <c r="A30" s="37"/>
      <c r="B30" s="38"/>
      <c r="C30" s="38"/>
      <c r="D30" s="42"/>
      <c r="E30" s="27"/>
      <c r="F30" s="38"/>
      <c r="G30" s="26"/>
      <c r="H30" s="27"/>
      <c r="I30" s="89"/>
      <c r="J30" s="28"/>
    </row>
    <row r="31" spans="1:18" x14ac:dyDescent="0.25">
      <c r="A31" s="37"/>
      <c r="B31" s="38"/>
      <c r="C31" s="38"/>
      <c r="D31" s="39"/>
      <c r="E31" s="27"/>
      <c r="F31" s="38"/>
      <c r="G31" s="26" t="s">
        <v>35</v>
      </c>
      <c r="H31" s="27"/>
      <c r="I31" s="91">
        <f>I23+(I27-I23)*I29</f>
        <v>7.825E-2</v>
      </c>
      <c r="J31" s="28" t="s">
        <v>36</v>
      </c>
    </row>
    <row r="32" spans="1:18" x14ac:dyDescent="0.25">
      <c r="A32" s="26"/>
      <c r="B32" s="27"/>
      <c r="C32" s="43"/>
      <c r="D32" s="27"/>
      <c r="E32" s="38"/>
      <c r="F32" s="38"/>
      <c r="G32" s="26"/>
      <c r="H32" s="27"/>
      <c r="I32" s="27"/>
      <c r="J32" s="28"/>
    </row>
    <row r="33" spans="1:10" x14ac:dyDescent="0.25">
      <c r="A33" s="26"/>
      <c r="B33" s="27"/>
      <c r="C33" s="27"/>
      <c r="D33" s="27"/>
      <c r="E33" s="27"/>
      <c r="F33" s="27"/>
      <c r="G33" s="85" t="s">
        <v>38</v>
      </c>
      <c r="H33" s="86"/>
      <c r="I33" s="87">
        <f>I31</f>
        <v>7.825E-2</v>
      </c>
      <c r="J33" s="28"/>
    </row>
    <row r="34" spans="1:10" x14ac:dyDescent="0.25">
      <c r="A34" s="37" t="s">
        <v>7</v>
      </c>
      <c r="B34" s="38"/>
      <c r="C34" s="44"/>
      <c r="D34" s="29"/>
      <c r="E34" s="27"/>
      <c r="F34" s="27"/>
      <c r="G34" s="26"/>
      <c r="H34" s="27"/>
      <c r="I34" s="27"/>
      <c r="J34" s="28"/>
    </row>
    <row r="35" spans="1:10" ht="15.75" hidden="1" customHeight="1" x14ac:dyDescent="0.25">
      <c r="A35" s="26"/>
      <c r="B35" s="27"/>
      <c r="C35" s="27"/>
      <c r="D35" s="27"/>
      <c r="E35" s="27"/>
      <c r="F35" s="27"/>
      <c r="G35" s="26"/>
      <c r="H35" s="27"/>
      <c r="I35" s="27"/>
      <c r="J35" s="28"/>
    </row>
    <row r="36" spans="1:10" ht="15.75" hidden="1" customHeight="1" x14ac:dyDescent="0.25">
      <c r="A36" s="26"/>
      <c r="B36" s="27" t="s">
        <v>8</v>
      </c>
      <c r="C36" s="27"/>
      <c r="D36" s="45">
        <v>0.08</v>
      </c>
      <c r="E36" s="27"/>
      <c r="F36" s="27"/>
      <c r="G36" s="26"/>
      <c r="H36" s="27"/>
      <c r="I36" s="27"/>
      <c r="J36" s="28"/>
    </row>
    <row r="37" spans="1:10" ht="15.75" hidden="1" customHeight="1" x14ac:dyDescent="0.25">
      <c r="A37" s="26"/>
      <c r="B37" s="27"/>
      <c r="C37" s="27"/>
      <c r="D37" s="27"/>
      <c r="E37" s="27"/>
      <c r="F37" s="27"/>
      <c r="G37" s="26"/>
      <c r="H37" s="27"/>
      <c r="I37" s="27"/>
      <c r="J37" s="28"/>
    </row>
    <row r="38" spans="1:10" ht="15.75" hidden="1" customHeight="1" x14ac:dyDescent="0.25">
      <c r="A38" s="26"/>
      <c r="B38" s="27"/>
      <c r="C38" s="27"/>
      <c r="D38" s="27"/>
      <c r="E38" s="27"/>
      <c r="F38" s="27"/>
      <c r="G38" s="26"/>
      <c r="H38" s="27"/>
      <c r="I38" s="27"/>
      <c r="J38" s="28"/>
    </row>
    <row r="39" spans="1:10" ht="15.75" hidden="1" customHeight="1" x14ac:dyDescent="0.25">
      <c r="A39" s="26"/>
      <c r="B39" s="27"/>
      <c r="C39" s="27"/>
      <c r="D39" s="27"/>
      <c r="E39" s="27"/>
      <c r="F39" s="27"/>
      <c r="G39" s="26"/>
      <c r="H39" s="27"/>
      <c r="I39" s="27"/>
      <c r="J39" s="28"/>
    </row>
    <row r="40" spans="1:10" hidden="1" x14ac:dyDescent="0.25">
      <c r="A40" s="26"/>
      <c r="B40" s="46"/>
      <c r="C40" s="46">
        <v>0.12</v>
      </c>
      <c r="D40" s="46" t="e">
        <f>((NPV(C40,$H$15:$R$15)+(#REF!*(1+#REF!)/(C40-#REF!))/(1+C40)^(2040-2020))/$D$50)/$C$51-1</f>
        <v>#REF!</v>
      </c>
      <c r="E40" s="27"/>
      <c r="F40" s="27"/>
      <c r="G40" s="26"/>
      <c r="H40" s="27"/>
      <c r="I40" s="27"/>
      <c r="J40" s="28"/>
    </row>
    <row r="41" spans="1:10" hidden="1" x14ac:dyDescent="0.25">
      <c r="A41" s="26"/>
      <c r="B41" s="46"/>
      <c r="C41" s="46">
        <v>0.14000000000000001</v>
      </c>
      <c r="D41" s="46" t="e">
        <f>((NPV(C41,$H$15:$R$15)+(#REF!*(1+#REF!)/(C41-#REF!))/(1+C41)^(2040-2020))/$D$50)/$C$51-1</f>
        <v>#REF!</v>
      </c>
      <c r="E41" s="27"/>
      <c r="F41" s="27"/>
      <c r="G41" s="26"/>
      <c r="H41" s="27"/>
      <c r="I41" s="27"/>
      <c r="J41" s="28"/>
    </row>
    <row r="42" spans="1:10" hidden="1" x14ac:dyDescent="0.25">
      <c r="A42" s="26"/>
      <c r="B42" s="46"/>
      <c r="C42" s="46">
        <v>0.16</v>
      </c>
      <c r="D42" s="46" t="e">
        <f>((NPV(C42,$H$15:$R$15)+(#REF!*(1+#REF!)/(C42-#REF!))/(1+C42)^(2040-2020))/$D$50)/$C$51-1</f>
        <v>#REF!</v>
      </c>
      <c r="E42" s="27"/>
      <c r="F42" s="27"/>
      <c r="G42" s="26"/>
      <c r="H42" s="27"/>
      <c r="I42" s="27"/>
      <c r="J42" s="28"/>
    </row>
    <row r="43" spans="1:10" hidden="1" x14ac:dyDescent="0.25">
      <c r="A43" s="26"/>
      <c r="B43" s="46"/>
      <c r="C43" s="46">
        <v>0.18</v>
      </c>
      <c r="D43" s="46" t="e">
        <f>((NPV(C43,$H$15:$R$15)+(#REF!*(1+#REF!)/(C43-#REF!))/(1+C43)^(2040-2020))/$D$50)/$C$51-1</f>
        <v>#REF!</v>
      </c>
      <c r="E43" s="27"/>
      <c r="F43" s="27"/>
      <c r="G43" s="26"/>
      <c r="H43" s="27"/>
      <c r="I43" s="27"/>
      <c r="J43" s="28"/>
    </row>
    <row r="44" spans="1:10" hidden="1" x14ac:dyDescent="0.25">
      <c r="A44" s="26"/>
      <c r="B44" s="46"/>
      <c r="C44" s="46">
        <v>0.2</v>
      </c>
      <c r="D44" s="46" t="e">
        <f>((NPV(C44,$H$15:$R$15)+(#REF!*(1+#REF!)/(C44-#REF!))/(1+C44)^(2040-2020))/$D$50)/$C$51-1</f>
        <v>#REF!</v>
      </c>
      <c r="E44" s="27"/>
      <c r="F44" s="27"/>
      <c r="G44" s="26"/>
      <c r="H44" s="27"/>
      <c r="I44" s="27"/>
      <c r="J44" s="28"/>
    </row>
    <row r="45" spans="1:10" x14ac:dyDescent="0.25">
      <c r="A45" s="26"/>
      <c r="B45" s="27"/>
      <c r="C45" s="27"/>
      <c r="D45" s="27"/>
      <c r="E45" s="27"/>
      <c r="F45" s="27"/>
      <c r="G45" s="26"/>
      <c r="H45" s="27"/>
      <c r="I45" s="27"/>
      <c r="J45" s="28"/>
    </row>
    <row r="46" spans="1:10" ht="16.5" thickBot="1" x14ac:dyDescent="0.3">
      <c r="A46" s="30"/>
      <c r="B46" s="31" t="s">
        <v>24</v>
      </c>
      <c r="C46" s="31"/>
      <c r="D46" s="47">
        <f>I33</f>
        <v>7.825E-2</v>
      </c>
      <c r="E46" s="31"/>
      <c r="F46" s="31"/>
      <c r="G46" s="30"/>
      <c r="H46" s="31"/>
      <c r="I46" s="31"/>
      <c r="J46" s="32"/>
    </row>
    <row r="48" spans="1:10" x14ac:dyDescent="0.25">
      <c r="A48" s="17"/>
      <c r="B48" s="18"/>
      <c r="C48" s="97">
        <v>44680</v>
      </c>
      <c r="D48" s="19" t="s">
        <v>3</v>
      </c>
      <c r="E48" s="20"/>
      <c r="F48" s="21"/>
      <c r="G48" s="22"/>
      <c r="H48" s="22"/>
      <c r="I48" s="22"/>
    </row>
    <row r="49" spans="1:17" x14ac:dyDescent="0.25">
      <c r="A49" s="48" t="s">
        <v>0</v>
      </c>
      <c r="B49" s="49" t="s">
        <v>5</v>
      </c>
      <c r="C49" s="79">
        <f>C50*C51</f>
        <v>41155.962119999997</v>
      </c>
      <c r="D49" s="51">
        <f>SUM(H19:R19)</f>
        <v>26946.836976704817</v>
      </c>
      <c r="E49" s="49" t="s">
        <v>39</v>
      </c>
    </row>
    <row r="50" spans="1:17" x14ac:dyDescent="0.25">
      <c r="A50" s="48"/>
      <c r="B50" s="49" t="s">
        <v>11</v>
      </c>
      <c r="C50" s="50">
        <v>217.30799999999999</v>
      </c>
      <c r="D50" s="50">
        <v>221.1</v>
      </c>
      <c r="E50" s="49"/>
    </row>
    <row r="51" spans="1:17" x14ac:dyDescent="0.25">
      <c r="A51" s="48"/>
      <c r="B51" s="49" t="s">
        <v>13</v>
      </c>
      <c r="C51" s="49">
        <v>189.39</v>
      </c>
      <c r="D51" s="62">
        <f>D49/(D50)</f>
        <v>121.87624141431397</v>
      </c>
      <c r="E51" s="49" t="s">
        <v>39</v>
      </c>
    </row>
    <row r="52" spans="1:17" x14ac:dyDescent="0.25">
      <c r="A52" s="48"/>
      <c r="B52" s="49" t="s">
        <v>2</v>
      </c>
      <c r="C52" s="49"/>
      <c r="D52" s="63">
        <f>IF(C51/D51-1&gt;0,0,C51/D51-1)*-1</f>
        <v>0</v>
      </c>
      <c r="E52" s="49"/>
    </row>
    <row r="53" spans="1:17" x14ac:dyDescent="0.25">
      <c r="A53" s="48"/>
      <c r="B53" s="49" t="s">
        <v>14</v>
      </c>
      <c r="C53" s="49"/>
      <c r="D53" s="64">
        <f>IF(C51/D51-1&lt;0,0,C51/D51-1)</f>
        <v>0.55395340225643652</v>
      </c>
      <c r="E53" s="49"/>
    </row>
    <row r="54" spans="1:17" x14ac:dyDescent="0.25">
      <c r="A54" s="49"/>
      <c r="B54" s="49"/>
      <c r="C54" s="49"/>
      <c r="D54" s="52"/>
      <c r="E54" s="52"/>
    </row>
    <row r="55" spans="1:17" x14ac:dyDescent="0.25">
      <c r="A55" s="52" t="s">
        <v>23</v>
      </c>
      <c r="B55" s="49"/>
      <c r="C55" s="54">
        <f>D46</f>
        <v>7.825E-2</v>
      </c>
      <c r="D55" s="53"/>
      <c r="E55" s="49"/>
      <c r="J55" s="78"/>
    </row>
    <row r="56" spans="1:17" x14ac:dyDescent="0.25">
      <c r="A56" s="52"/>
      <c r="B56" s="49"/>
      <c r="C56" s="54"/>
      <c r="D56" s="53"/>
      <c r="E56" s="49"/>
    </row>
    <row r="57" spans="1:17" hidden="1" x14ac:dyDescent="0.25">
      <c r="A57" s="52" t="s">
        <v>26</v>
      </c>
      <c r="B57" s="82">
        <v>0.108</v>
      </c>
      <c r="C57" s="54"/>
      <c r="D57" s="83">
        <f>SUM(H57:Q57)*1000</f>
        <v>16444983.943964828</v>
      </c>
      <c r="E57" s="49"/>
      <c r="F57" s="1" t="s">
        <v>27</v>
      </c>
      <c r="H57" s="1">
        <f>H15/(1+$B$57)</f>
        <v>812.27436823104688</v>
      </c>
      <c r="I57" s="1">
        <f>I15/(1+$B$57)^2</f>
        <v>879.71953238019501</v>
      </c>
      <c r="J57" s="1">
        <f>J15/(1+$B$57)^3</f>
        <v>1043.9244350680881</v>
      </c>
      <c r="K57" s="1">
        <f>K15/(1+$B$57)^4</f>
        <v>1128.2154811294154</v>
      </c>
      <c r="L57" s="1">
        <f>L15/(1+$B$57)^5</f>
        <v>1123.7606591709846</v>
      </c>
      <c r="M57" s="1">
        <f>M15/(1+$B$57)^6</f>
        <v>-270.45984576919</v>
      </c>
      <c r="N57" s="1">
        <f>N15/(1+$B$57)^7</f>
        <v>983.22406025117084</v>
      </c>
      <c r="O57" s="1">
        <f>O15/(1+$B$57)^8</f>
        <v>915.87610780569321</v>
      </c>
      <c r="P57" s="1">
        <f>P15/(1+$B$57)^9</f>
        <v>852.51810600705551</v>
      </c>
      <c r="Q57" s="1">
        <f>(R15/(B57-R12))/(1+B57)^10</f>
        <v>8975.9310396903693</v>
      </c>
    </row>
    <row r="58" spans="1:17" ht="16.5" thickBot="1" x14ac:dyDescent="0.3">
      <c r="A58" s="23"/>
      <c r="C58" s="73"/>
      <c r="D58" s="74"/>
    </row>
    <row r="59" spans="1:17" x14ac:dyDescent="0.25">
      <c r="A59" s="65" t="s">
        <v>47</v>
      </c>
      <c r="B59" s="24"/>
      <c r="C59" s="75">
        <v>22</v>
      </c>
      <c r="D59" s="24"/>
      <c r="E59" s="25"/>
    </row>
    <row r="60" spans="1:17" x14ac:dyDescent="0.25">
      <c r="A60" s="26" t="s">
        <v>25</v>
      </c>
      <c r="B60" s="27"/>
      <c r="C60" s="76"/>
      <c r="D60" s="27"/>
      <c r="E60" s="28"/>
    </row>
    <row r="61" spans="1:17" x14ac:dyDescent="0.25">
      <c r="A61" s="26"/>
      <c r="B61" s="27"/>
      <c r="C61" s="76"/>
      <c r="D61" s="27"/>
      <c r="E61" s="28"/>
    </row>
    <row r="62" spans="1:17" x14ac:dyDescent="0.25">
      <c r="A62" s="26" t="s">
        <v>44</v>
      </c>
      <c r="B62" s="27"/>
      <c r="C62" s="76"/>
      <c r="D62" s="27"/>
      <c r="E62" s="66">
        <f>Q17*C59</f>
        <v>232.51820655737404</v>
      </c>
    </row>
    <row r="63" spans="1:17" x14ac:dyDescent="0.25">
      <c r="A63" s="26"/>
      <c r="B63" s="27"/>
      <c r="C63" s="76"/>
      <c r="D63" s="27"/>
      <c r="E63" s="28"/>
    </row>
    <row r="64" spans="1:17" x14ac:dyDescent="0.25">
      <c r="A64" s="26" t="s">
        <v>17</v>
      </c>
      <c r="B64" s="27"/>
      <c r="C64" s="77">
        <v>0</v>
      </c>
      <c r="D64" s="27"/>
      <c r="E64" s="28"/>
    </row>
    <row r="65" spans="1:5" x14ac:dyDescent="0.25">
      <c r="A65" s="26"/>
      <c r="B65" s="27"/>
      <c r="C65" s="27"/>
      <c r="D65" s="27"/>
      <c r="E65" s="28"/>
    </row>
    <row r="66" spans="1:5" x14ac:dyDescent="0.25">
      <c r="A66" s="26" t="s">
        <v>18</v>
      </c>
      <c r="B66" s="27"/>
      <c r="C66" s="27"/>
      <c r="D66" s="27"/>
      <c r="E66" s="66">
        <f>SUM(H17:R17)*C64</f>
        <v>0</v>
      </c>
    </row>
    <row r="67" spans="1:5" x14ac:dyDescent="0.25">
      <c r="A67" s="26"/>
      <c r="B67" s="27"/>
      <c r="C67" s="27"/>
      <c r="D67" s="27"/>
      <c r="E67" s="67"/>
    </row>
    <row r="68" spans="1:5" x14ac:dyDescent="0.25">
      <c r="A68" s="68" t="s">
        <v>19</v>
      </c>
      <c r="B68" s="27"/>
      <c r="C68" s="27"/>
      <c r="D68" s="27"/>
      <c r="E68" s="69">
        <f>(E66*0.25)*-1</f>
        <v>0</v>
      </c>
    </row>
    <row r="69" spans="1:5" x14ac:dyDescent="0.25">
      <c r="A69" s="26"/>
      <c r="B69" s="27"/>
      <c r="C69" s="46"/>
      <c r="D69" s="46"/>
      <c r="E69" s="70"/>
    </row>
    <row r="70" spans="1:5" x14ac:dyDescent="0.25">
      <c r="A70" s="26" t="s">
        <v>20</v>
      </c>
      <c r="B70" s="27"/>
      <c r="C70" s="27"/>
      <c r="D70" s="27"/>
      <c r="E70" s="66">
        <f>SUM(E62:E68)</f>
        <v>232.51820655737404</v>
      </c>
    </row>
    <row r="71" spans="1:5" x14ac:dyDescent="0.25">
      <c r="A71" s="26"/>
      <c r="B71" s="27"/>
      <c r="C71" s="27"/>
      <c r="D71" s="27"/>
      <c r="E71" s="66"/>
    </row>
    <row r="72" spans="1:5" x14ac:dyDescent="0.25">
      <c r="A72" s="26" t="s">
        <v>21</v>
      </c>
      <c r="B72" s="27"/>
      <c r="C72" s="27"/>
      <c r="D72" s="27"/>
      <c r="E72" s="70">
        <f>E70/C51-1</f>
        <v>0.22772166723361353</v>
      </c>
    </row>
    <row r="73" spans="1:5" x14ac:dyDescent="0.25">
      <c r="A73" s="26"/>
      <c r="B73" s="27"/>
      <c r="C73" s="27"/>
      <c r="D73" s="27"/>
      <c r="E73" s="28"/>
    </row>
    <row r="74" spans="1:5" ht="16.5" thickBot="1" x14ac:dyDescent="0.3">
      <c r="A74" s="71" t="s">
        <v>22</v>
      </c>
      <c r="B74" s="72"/>
      <c r="C74" s="72"/>
      <c r="D74" s="72"/>
      <c r="E74" s="94">
        <f>(E70/C51)^(1/10)-1</f>
        <v>2.0727914935887881E-2</v>
      </c>
    </row>
  </sheetData>
  <conditionalFormatting sqref="L6:L8">
    <cfRule type="top10" dxfId="7" priority="6" percent="1" rank="10"/>
  </conditionalFormatting>
  <conditionalFormatting sqref="G6:J8">
    <cfRule type="top10" dxfId="6" priority="5" percent="1" rank="10"/>
  </conditionalFormatting>
  <conditionalFormatting sqref="L9">
    <cfRule type="top10" dxfId="5" priority="4" percent="1" rank="10"/>
  </conditionalFormatting>
  <conditionalFormatting sqref="L2:L5">
    <cfRule type="top10" dxfId="4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B74"/>
  <sheetViews>
    <sheetView topLeftCell="A26" zoomScale="90" zoomScaleNormal="90" workbookViewId="0">
      <selection activeCell="A60" sqref="A60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9" width="12.375" style="1" bestFit="1" customWidth="1"/>
    <col min="10" max="16" width="13.375" style="1" bestFit="1" customWidth="1"/>
    <col min="17" max="18" width="10.625" style="1" customWidth="1"/>
    <col min="19" max="16384" width="10.625" style="1"/>
  </cols>
  <sheetData>
    <row r="2" spans="1:28" ht="26.25" x14ac:dyDescent="0.4">
      <c r="B2" s="33" t="s">
        <v>10</v>
      </c>
    </row>
    <row r="4" spans="1:28" x14ac:dyDescent="0.25">
      <c r="B4" s="23" t="s">
        <v>41</v>
      </c>
      <c r="L4" s="27"/>
      <c r="M4" s="27"/>
      <c r="N4" s="27"/>
      <c r="O4" s="27"/>
      <c r="P4" s="27"/>
      <c r="Q4" s="27"/>
      <c r="R4" s="27"/>
      <c r="S4" s="27"/>
    </row>
    <row r="5" spans="1:28" x14ac:dyDescent="0.25">
      <c r="L5" s="27"/>
      <c r="M5" s="27"/>
      <c r="N5" s="27"/>
      <c r="O5" s="27"/>
      <c r="P5" s="27"/>
      <c r="Q5" s="27"/>
      <c r="R5" s="27"/>
      <c r="S5" s="27"/>
    </row>
    <row r="6" spans="1:28" x14ac:dyDescent="0.25">
      <c r="B6" s="1" t="s">
        <v>37</v>
      </c>
      <c r="L6" s="27"/>
      <c r="M6" s="27"/>
      <c r="N6" s="27"/>
      <c r="O6" s="27"/>
      <c r="P6" s="27"/>
      <c r="Q6" s="27"/>
      <c r="R6" s="27"/>
      <c r="S6" s="27"/>
    </row>
    <row r="9" spans="1:28" s="8" customFormat="1" x14ac:dyDescent="0.25">
      <c r="H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2018</v>
      </c>
      <c r="D10" s="11">
        <v>2019</v>
      </c>
      <c r="E10" s="11">
        <v>2020</v>
      </c>
      <c r="F10" s="11">
        <v>2021</v>
      </c>
      <c r="G10" s="11">
        <v>2022</v>
      </c>
      <c r="H10" s="60">
        <v>2023</v>
      </c>
      <c r="I10" s="60">
        <v>2024</v>
      </c>
      <c r="J10" s="60">
        <v>2025</v>
      </c>
      <c r="K10" s="60">
        <v>2026</v>
      </c>
      <c r="L10" s="60">
        <v>2027</v>
      </c>
      <c r="M10" s="60">
        <v>2028</v>
      </c>
      <c r="N10" s="60">
        <v>2029</v>
      </c>
      <c r="O10" s="60">
        <v>2030</v>
      </c>
      <c r="P10" s="60">
        <v>2031</v>
      </c>
      <c r="Q10" s="60">
        <v>2032</v>
      </c>
      <c r="R10" s="59" t="s">
        <v>42</v>
      </c>
    </row>
    <row r="11" spans="1:28" x14ac:dyDescent="0.25">
      <c r="A11" s="5"/>
      <c r="B11" s="4" t="s">
        <v>4</v>
      </c>
      <c r="C11" s="93">
        <v>2060</v>
      </c>
      <c r="D11" s="93">
        <v>2570</v>
      </c>
      <c r="E11" s="93">
        <v>3270</v>
      </c>
      <c r="F11" s="93">
        <v>3790.4</v>
      </c>
      <c r="G11" s="93">
        <v>4386.3999999999996</v>
      </c>
      <c r="H11" s="81">
        <v>5078.5</v>
      </c>
      <c r="I11" s="81">
        <v>5836.22</v>
      </c>
      <c r="J11" s="81">
        <v>6668.46</v>
      </c>
      <c r="K11" s="81">
        <f>J11*(1+K12)</f>
        <v>7535.3597999999993</v>
      </c>
      <c r="L11" s="81">
        <f t="shared" ref="L11:R11" si="0">K11*(1+L12)</f>
        <v>8439.6029760000001</v>
      </c>
      <c r="M11" s="81">
        <f t="shared" si="0"/>
        <v>9367.9593033600013</v>
      </c>
      <c r="N11" s="81">
        <f t="shared" si="0"/>
        <v>10304.755233696002</v>
      </c>
      <c r="O11" s="81">
        <f t="shared" si="0"/>
        <v>11335.230757065603</v>
      </c>
      <c r="P11" s="81">
        <f t="shared" si="0"/>
        <v>12468.753832772165</v>
      </c>
      <c r="Q11" s="81">
        <f t="shared" si="0"/>
        <v>13466.254139393939</v>
      </c>
      <c r="R11" s="81">
        <f t="shared" si="0"/>
        <v>13735.579222181817</v>
      </c>
    </row>
    <row r="12" spans="1:28" x14ac:dyDescent="0.25">
      <c r="A12" s="5"/>
      <c r="B12" s="4" t="s">
        <v>1</v>
      </c>
      <c r="C12" s="96"/>
      <c r="D12" s="96">
        <v>0.24757281553398047</v>
      </c>
      <c r="E12" s="96">
        <v>0.27237354085603105</v>
      </c>
      <c r="F12" s="96">
        <v>0.15914373088685019</v>
      </c>
      <c r="G12" s="96">
        <v>0.15723934149430119</v>
      </c>
      <c r="H12" s="92">
        <f t="shared" ref="H12:J12" si="1">H11/G11-1</f>
        <v>0.15778314791172732</v>
      </c>
      <c r="I12" s="92">
        <f t="shared" si="1"/>
        <v>0.14920153588658081</v>
      </c>
      <c r="J12" s="92">
        <f t="shared" si="1"/>
        <v>0.14259914807872209</v>
      </c>
      <c r="K12" s="92">
        <v>0.13</v>
      </c>
      <c r="L12" s="61">
        <v>0.12</v>
      </c>
      <c r="M12" s="61">
        <v>0.11</v>
      </c>
      <c r="N12" s="61">
        <v>0.1</v>
      </c>
      <c r="O12" s="61">
        <v>0.1</v>
      </c>
      <c r="P12" s="61">
        <v>0.1</v>
      </c>
      <c r="Q12" s="61">
        <v>0.08</v>
      </c>
      <c r="R12" s="13">
        <v>0.02</v>
      </c>
    </row>
    <row r="13" spans="1:28" ht="15.95" customHeight="1" x14ac:dyDescent="0.25">
      <c r="A13" s="5"/>
      <c r="B13" s="4" t="s">
        <v>15</v>
      </c>
      <c r="C13" s="96">
        <v>-5.3398058252427182E-2</v>
      </c>
      <c r="D13" s="96">
        <v>0.1245136186770428</v>
      </c>
      <c r="E13" s="96">
        <v>0.24464831804281345</v>
      </c>
      <c r="F13" s="96">
        <v>0.29284508231321232</v>
      </c>
      <c r="G13" s="96">
        <v>0.31916833850082077</v>
      </c>
      <c r="H13" s="80">
        <v>0.3629</v>
      </c>
      <c r="I13" s="80">
        <v>0.38190000000000002</v>
      </c>
      <c r="J13" s="80">
        <v>0.4022</v>
      </c>
      <c r="K13" s="80">
        <v>0.4</v>
      </c>
      <c r="L13" s="80">
        <v>0.41</v>
      </c>
      <c r="M13" s="80">
        <v>0.41</v>
      </c>
      <c r="N13" s="80">
        <v>0.42</v>
      </c>
      <c r="O13" s="80">
        <v>0.42</v>
      </c>
      <c r="P13" s="80">
        <v>0.42499999999999999</v>
      </c>
      <c r="Q13" s="80">
        <v>0.43</v>
      </c>
      <c r="R13" s="80">
        <v>0.44</v>
      </c>
    </row>
    <row r="14" spans="1:28" ht="17.100000000000001" customHeight="1" x14ac:dyDescent="0.25">
      <c r="A14" s="5"/>
      <c r="B14" s="4" t="s">
        <v>16</v>
      </c>
      <c r="C14" s="93">
        <v>-110</v>
      </c>
      <c r="D14" s="93">
        <v>320</v>
      </c>
      <c r="E14" s="93">
        <v>800</v>
      </c>
      <c r="F14" s="93">
        <v>1110</v>
      </c>
      <c r="G14" s="93">
        <v>1400</v>
      </c>
      <c r="H14" s="81">
        <f>H11*H13</f>
        <v>1842.98765</v>
      </c>
      <c r="I14" s="81">
        <f t="shared" ref="I14:J14" si="2">I11*I13</f>
        <v>2228.8524180000004</v>
      </c>
      <c r="J14" s="81">
        <f t="shared" si="2"/>
        <v>2682.0546119999999</v>
      </c>
      <c r="K14" s="81">
        <f t="shared" ref="K14:R14" si="3">K11*K13</f>
        <v>3014.14392</v>
      </c>
      <c r="L14" s="81">
        <f t="shared" si="3"/>
        <v>3460.2372201599997</v>
      </c>
      <c r="M14" s="81">
        <f t="shared" si="3"/>
        <v>3840.8633143776001</v>
      </c>
      <c r="N14" s="81">
        <f t="shared" si="3"/>
        <v>4327.9971981523204</v>
      </c>
      <c r="O14" s="81">
        <f t="shared" si="3"/>
        <v>4760.7969179675529</v>
      </c>
      <c r="P14" s="81">
        <f t="shared" si="3"/>
        <v>5299.2203789281702</v>
      </c>
      <c r="Q14" s="81">
        <f t="shared" si="3"/>
        <v>5790.4892799393938</v>
      </c>
      <c r="R14" s="81">
        <f t="shared" si="3"/>
        <v>6043.6548577599997</v>
      </c>
    </row>
    <row r="15" spans="1:28" x14ac:dyDescent="0.25">
      <c r="A15" s="12">
        <v>0.35</v>
      </c>
      <c r="B15" s="4" t="s">
        <v>46</v>
      </c>
      <c r="C15" s="93">
        <v>-570</v>
      </c>
      <c r="D15" s="93">
        <v>-80</v>
      </c>
      <c r="E15" s="93">
        <v>210</v>
      </c>
      <c r="F15" s="93">
        <v>1210</v>
      </c>
      <c r="G15" s="93">
        <v>500</v>
      </c>
      <c r="H15" s="81">
        <v>927</v>
      </c>
      <c r="I15" s="81">
        <v>1172</v>
      </c>
      <c r="J15" s="81">
        <v>1519</v>
      </c>
      <c r="K15" s="81">
        <f t="shared" ref="K15:Q15" si="4">K14*(1-$A$15)</f>
        <v>1959.193548</v>
      </c>
      <c r="L15" s="81">
        <f t="shared" si="4"/>
        <v>2249.1541931039997</v>
      </c>
      <c r="M15" s="81">
        <f t="shared" si="4"/>
        <v>2496.5611543454402</v>
      </c>
      <c r="N15" s="81">
        <f t="shared" si="4"/>
        <v>2813.1981787990085</v>
      </c>
      <c r="O15" s="81">
        <f t="shared" si="4"/>
        <v>3094.5179966789096</v>
      </c>
      <c r="P15" s="81">
        <f t="shared" si="4"/>
        <v>3444.4932463033106</v>
      </c>
      <c r="Q15" s="81">
        <f t="shared" si="4"/>
        <v>3763.8180319606063</v>
      </c>
      <c r="R15" s="81">
        <f>R14*(1-$A$15)</f>
        <v>3928.3756575439998</v>
      </c>
    </row>
    <row r="16" spans="1:28" ht="32.25" hidden="1" thickBot="1" x14ac:dyDescent="0.3">
      <c r="A16" s="14" t="s">
        <v>6</v>
      </c>
      <c r="B16" s="15"/>
      <c r="C16" s="16">
        <f t="shared" ref="C16:K16" si="5">C15/C14</f>
        <v>5.1818181818181817</v>
      </c>
      <c r="D16" s="16">
        <f t="shared" si="5"/>
        <v>-0.25</v>
      </c>
      <c r="E16" s="16">
        <f t="shared" si="5"/>
        <v>0.26250000000000001</v>
      </c>
      <c r="F16" s="16">
        <f t="shared" si="5"/>
        <v>1.0900900900900901</v>
      </c>
      <c r="G16" s="16">
        <f t="shared" si="5"/>
        <v>0.35714285714285715</v>
      </c>
      <c r="H16" s="16">
        <f t="shared" si="5"/>
        <v>0.50298763532137614</v>
      </c>
      <c r="I16" s="16">
        <f t="shared" si="5"/>
        <v>0.52583113647859292</v>
      </c>
      <c r="J16" s="16">
        <f t="shared" si="5"/>
        <v>0.56635684941079045</v>
      </c>
      <c r="K16" s="16">
        <f t="shared" si="5"/>
        <v>0.65</v>
      </c>
    </row>
    <row r="17" spans="1:18" x14ac:dyDescent="0.25">
      <c r="A17" s="2" t="s">
        <v>43</v>
      </c>
      <c r="C17" s="93"/>
      <c r="D17" s="93"/>
      <c r="E17" s="93"/>
      <c r="F17" s="93"/>
      <c r="G17" s="93"/>
      <c r="H17" s="81">
        <f>H15/H18</f>
        <v>4.1756756756756754</v>
      </c>
      <c r="I17" s="81">
        <f t="shared" ref="I17:Q17" si="6">I15/I18</f>
        <v>5.3326053326053326</v>
      </c>
      <c r="J17" s="81">
        <f t="shared" si="6"/>
        <v>6.9812696075322336</v>
      </c>
      <c r="K17" s="81">
        <f t="shared" si="6"/>
        <v>9.095336759248605</v>
      </c>
      <c r="L17" s="81">
        <f t="shared" si="6"/>
        <v>10.546915757189291</v>
      </c>
      <c r="M17" s="81">
        <f t="shared" si="6"/>
        <v>11.825329788363753</v>
      </c>
      <c r="N17" s="81">
        <f t="shared" si="6"/>
        <v>13.459724962365248</v>
      </c>
      <c r="O17" s="81">
        <f t="shared" si="6"/>
        <v>14.955249958183611</v>
      </c>
      <c r="P17" s="81">
        <f t="shared" si="6"/>
        <v>16.814765164624433</v>
      </c>
      <c r="Q17" s="81">
        <f t="shared" si="6"/>
        <v>18.559184652291357</v>
      </c>
      <c r="R17" s="81"/>
    </row>
    <row r="18" spans="1:18" ht="32.25" thickBot="1" x14ac:dyDescent="0.3">
      <c r="A18" s="2" t="s">
        <v>45</v>
      </c>
      <c r="C18" s="93"/>
      <c r="D18" s="93"/>
      <c r="E18" s="93"/>
      <c r="F18" s="93"/>
      <c r="G18" s="93"/>
      <c r="H18" s="81">
        <v>222</v>
      </c>
      <c r="I18" s="81">
        <f>H18*0.99</f>
        <v>219.78</v>
      </c>
      <c r="J18" s="81">
        <f t="shared" ref="J18:Q18" si="7">I18*0.99</f>
        <v>217.5822</v>
      </c>
      <c r="K18" s="81">
        <f t="shared" si="7"/>
        <v>215.40637799999999</v>
      </c>
      <c r="L18" s="81">
        <f t="shared" si="7"/>
        <v>213.25231421999999</v>
      </c>
      <c r="M18" s="81">
        <f t="shared" si="7"/>
        <v>211.11979107779999</v>
      </c>
      <c r="N18" s="81">
        <f t="shared" si="7"/>
        <v>209.00859316702198</v>
      </c>
      <c r="O18" s="81">
        <f t="shared" si="7"/>
        <v>206.91850723535177</v>
      </c>
      <c r="P18" s="81">
        <f t="shared" si="7"/>
        <v>204.84932216299825</v>
      </c>
      <c r="Q18" s="81">
        <f t="shared" si="7"/>
        <v>202.80082894136825</v>
      </c>
      <c r="R18" s="81"/>
    </row>
    <row r="19" spans="1:18" ht="16.5" thickBot="1" x14ac:dyDescent="0.3">
      <c r="A19" s="2"/>
      <c r="F19" s="55" t="s">
        <v>12</v>
      </c>
      <c r="G19" s="56"/>
      <c r="H19" s="57">
        <f>H15/(1+$C$55)</f>
        <v>859.72640853234418</v>
      </c>
      <c r="I19" s="57">
        <f>I15/(1+$C$55)^2</f>
        <v>1008.0653289982369</v>
      </c>
      <c r="J19" s="57">
        <f>J15/(1+$C$55)^3</f>
        <v>1211.711901037598</v>
      </c>
      <c r="K19" s="57">
        <f>K15/(1+$C$55)^4</f>
        <v>1449.4374378958887</v>
      </c>
      <c r="L19" s="57">
        <f>L15/(1+$C$55)^5</f>
        <v>1543.1988673354788</v>
      </c>
      <c r="M19" s="57">
        <f>M15/(1+$C$55)^6</f>
        <v>1588.6396872176044</v>
      </c>
      <c r="N19" s="57">
        <f>N15/(1+$C$55)^7</f>
        <v>1660.2139543965966</v>
      </c>
      <c r="O19" s="57">
        <f>O15/(1+$C$55)^8</f>
        <v>1693.70308354858</v>
      </c>
      <c r="P19" s="57">
        <f>P15/(1+$C$55)^9</f>
        <v>1748.4375952192404</v>
      </c>
      <c r="Q19" s="57">
        <f>Q15/(1+$C$55)^10</f>
        <v>1771.8785487809832</v>
      </c>
      <c r="R19" s="58">
        <f>(R15/(C55-R12))/(1+C55)^10</f>
        <v>31748.441668545976</v>
      </c>
    </row>
    <row r="20" spans="1:18" x14ac:dyDescent="0.25">
      <c r="A20" s="2"/>
      <c r="C20" s="84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P21" s="3"/>
      <c r="Q21" s="3"/>
      <c r="R21" s="3"/>
    </row>
    <row r="22" spans="1:18" ht="16.5" thickBot="1" x14ac:dyDescent="0.3">
      <c r="P22" s="3"/>
      <c r="Q22" s="3"/>
      <c r="R22" s="3"/>
    </row>
    <row r="23" spans="1:18" x14ac:dyDescent="0.25">
      <c r="A23" s="34" t="s">
        <v>28</v>
      </c>
      <c r="B23" s="35"/>
      <c r="C23" s="35"/>
      <c r="D23" s="36"/>
      <c r="E23" s="24"/>
      <c r="F23" s="35"/>
      <c r="G23" s="65" t="s">
        <v>29</v>
      </c>
      <c r="H23" s="24"/>
      <c r="I23" s="88">
        <v>1.4999999999999999E-2</v>
      </c>
      <c r="J23" s="25" t="s">
        <v>30</v>
      </c>
    </row>
    <row r="24" spans="1:18" x14ac:dyDescent="0.25">
      <c r="A24" s="37"/>
      <c r="B24" s="38"/>
      <c r="C24" s="38"/>
      <c r="D24" s="39"/>
      <c r="E24" s="38"/>
      <c r="F24" s="38"/>
      <c r="G24" s="26"/>
      <c r="H24" s="27"/>
      <c r="I24" s="89"/>
      <c r="J24" s="28"/>
    </row>
    <row r="25" spans="1:18" x14ac:dyDescent="0.25">
      <c r="A25" s="37"/>
      <c r="B25" s="38"/>
      <c r="C25" s="38"/>
      <c r="D25" s="40"/>
      <c r="E25" s="27"/>
      <c r="F25" s="38"/>
      <c r="G25" s="26" t="s">
        <v>31</v>
      </c>
      <c r="H25" s="27"/>
      <c r="I25" s="90">
        <f>(I27-I23)*I29</f>
        <v>6.3250000000000001E-2</v>
      </c>
      <c r="J25" s="28"/>
    </row>
    <row r="26" spans="1:18" x14ac:dyDescent="0.25">
      <c r="A26" s="37"/>
      <c r="B26" s="38"/>
      <c r="C26" s="38"/>
      <c r="D26" s="40"/>
      <c r="E26" s="27"/>
      <c r="F26" s="38"/>
      <c r="G26" s="26"/>
      <c r="H26" s="27"/>
      <c r="I26" s="89"/>
      <c r="J26" s="28"/>
    </row>
    <row r="27" spans="1:18" x14ac:dyDescent="0.25">
      <c r="A27" s="37"/>
      <c r="B27" s="38"/>
      <c r="C27" s="38"/>
      <c r="D27" s="40"/>
      <c r="E27" s="27"/>
      <c r="F27" s="38"/>
      <c r="G27" s="26" t="s">
        <v>32</v>
      </c>
      <c r="H27" s="27"/>
      <c r="I27" s="91">
        <v>7.0000000000000007E-2</v>
      </c>
      <c r="J27" s="28" t="s">
        <v>33</v>
      </c>
    </row>
    <row r="28" spans="1:18" x14ac:dyDescent="0.25">
      <c r="A28" s="37"/>
      <c r="B28" s="38"/>
      <c r="C28" s="38"/>
      <c r="D28" s="41"/>
      <c r="E28" s="27"/>
      <c r="F28" s="38"/>
      <c r="G28" s="26"/>
      <c r="H28" s="27"/>
      <c r="I28" s="89"/>
      <c r="J28" s="28"/>
    </row>
    <row r="29" spans="1:18" x14ac:dyDescent="0.25">
      <c r="A29" s="37"/>
      <c r="B29" s="38"/>
      <c r="C29" s="38"/>
      <c r="D29" s="41"/>
      <c r="E29" s="27"/>
      <c r="F29" s="38"/>
      <c r="G29" s="26" t="s">
        <v>40</v>
      </c>
      <c r="H29" s="27"/>
      <c r="I29" s="89">
        <v>1.1499999999999999</v>
      </c>
      <c r="J29" s="28" t="s">
        <v>34</v>
      </c>
    </row>
    <row r="30" spans="1:18" x14ac:dyDescent="0.25">
      <c r="A30" s="37"/>
      <c r="B30" s="38"/>
      <c r="C30" s="38"/>
      <c r="D30" s="42"/>
      <c r="E30" s="27"/>
      <c r="F30" s="38"/>
      <c r="G30" s="26"/>
      <c r="H30" s="27"/>
      <c r="I30" s="89"/>
      <c r="J30" s="28"/>
    </row>
    <row r="31" spans="1:18" x14ac:dyDescent="0.25">
      <c r="A31" s="37"/>
      <c r="B31" s="38"/>
      <c r="C31" s="38"/>
      <c r="D31" s="39"/>
      <c r="E31" s="27"/>
      <c r="F31" s="38"/>
      <c r="G31" s="26" t="s">
        <v>35</v>
      </c>
      <c r="H31" s="27"/>
      <c r="I31" s="91">
        <f>I23+(I27-I23)*I29</f>
        <v>7.825E-2</v>
      </c>
      <c r="J31" s="28" t="s">
        <v>36</v>
      </c>
    </row>
    <row r="32" spans="1:18" x14ac:dyDescent="0.25">
      <c r="A32" s="26"/>
      <c r="B32" s="27"/>
      <c r="C32" s="43"/>
      <c r="D32" s="27"/>
      <c r="E32" s="38"/>
      <c r="F32" s="38"/>
      <c r="G32" s="26"/>
      <c r="H32" s="27"/>
      <c r="I32" s="27"/>
      <c r="J32" s="28"/>
    </row>
    <row r="33" spans="1:10" x14ac:dyDescent="0.25">
      <c r="A33" s="26"/>
      <c r="B33" s="27"/>
      <c r="C33" s="27"/>
      <c r="D33" s="27"/>
      <c r="E33" s="27"/>
      <c r="F33" s="27"/>
      <c r="G33" s="85" t="s">
        <v>38</v>
      </c>
      <c r="H33" s="86"/>
      <c r="I33" s="87">
        <f>I31</f>
        <v>7.825E-2</v>
      </c>
      <c r="J33" s="28"/>
    </row>
    <row r="34" spans="1:10" x14ac:dyDescent="0.25">
      <c r="A34" s="37" t="s">
        <v>7</v>
      </c>
      <c r="B34" s="38"/>
      <c r="C34" s="44"/>
      <c r="D34" s="29"/>
      <c r="E34" s="27"/>
      <c r="F34" s="27"/>
      <c r="G34" s="26"/>
      <c r="H34" s="27"/>
      <c r="I34" s="27"/>
      <c r="J34" s="28"/>
    </row>
    <row r="35" spans="1:10" ht="15.75" hidden="1" customHeight="1" x14ac:dyDescent="0.25">
      <c r="A35" s="26"/>
      <c r="B35" s="27"/>
      <c r="C35" s="27"/>
      <c r="D35" s="27"/>
      <c r="E35" s="27"/>
      <c r="F35" s="27"/>
      <c r="G35" s="26"/>
      <c r="H35" s="27"/>
      <c r="I35" s="27"/>
      <c r="J35" s="28"/>
    </row>
    <row r="36" spans="1:10" ht="15.75" hidden="1" customHeight="1" x14ac:dyDescent="0.25">
      <c r="A36" s="26"/>
      <c r="B36" s="27" t="s">
        <v>8</v>
      </c>
      <c r="C36" s="27"/>
      <c r="D36" s="45">
        <v>0.08</v>
      </c>
      <c r="E36" s="27"/>
      <c r="F36" s="27"/>
      <c r="G36" s="26"/>
      <c r="H36" s="27"/>
      <c r="I36" s="27"/>
      <c r="J36" s="28"/>
    </row>
    <row r="37" spans="1:10" ht="15.75" hidden="1" customHeight="1" x14ac:dyDescent="0.25">
      <c r="A37" s="26"/>
      <c r="B37" s="27"/>
      <c r="C37" s="27"/>
      <c r="D37" s="27"/>
      <c r="E37" s="27"/>
      <c r="F37" s="27"/>
      <c r="G37" s="26"/>
      <c r="H37" s="27"/>
      <c r="I37" s="27"/>
      <c r="J37" s="28"/>
    </row>
    <row r="38" spans="1:10" ht="15.75" hidden="1" customHeight="1" x14ac:dyDescent="0.25">
      <c r="A38" s="26"/>
      <c r="B38" s="27"/>
      <c r="C38" s="27"/>
      <c r="D38" s="27"/>
      <c r="E38" s="27"/>
      <c r="F38" s="27"/>
      <c r="G38" s="26"/>
      <c r="H38" s="27"/>
      <c r="I38" s="27"/>
      <c r="J38" s="28"/>
    </row>
    <row r="39" spans="1:10" ht="15.75" hidden="1" customHeight="1" x14ac:dyDescent="0.25">
      <c r="A39" s="26"/>
      <c r="B39" s="27"/>
      <c r="C39" s="27"/>
      <c r="D39" s="27"/>
      <c r="E39" s="27"/>
      <c r="F39" s="27"/>
      <c r="G39" s="26"/>
      <c r="H39" s="27"/>
      <c r="I39" s="27"/>
      <c r="J39" s="28"/>
    </row>
    <row r="40" spans="1:10" hidden="1" x14ac:dyDescent="0.25">
      <c r="A40" s="26"/>
      <c r="B40" s="46"/>
      <c r="C40" s="46">
        <v>0.12</v>
      </c>
      <c r="D40" s="46" t="e">
        <f>((NPV(C40,$H$15:$R$15)+(#REF!*(1+#REF!)/(C40-#REF!))/(1+C40)^(2040-2020))/$D$50)/$C$51-1</f>
        <v>#REF!</v>
      </c>
      <c r="E40" s="27"/>
      <c r="F40" s="27"/>
      <c r="G40" s="26"/>
      <c r="H40" s="27"/>
      <c r="I40" s="27"/>
      <c r="J40" s="28"/>
    </row>
    <row r="41" spans="1:10" hidden="1" x14ac:dyDescent="0.25">
      <c r="A41" s="26"/>
      <c r="B41" s="46"/>
      <c r="C41" s="46">
        <v>0.14000000000000001</v>
      </c>
      <c r="D41" s="46" t="e">
        <f>((NPV(C41,$H$15:$R$15)+(#REF!*(1+#REF!)/(C41-#REF!))/(1+C41)^(2040-2020))/$D$50)/$C$51-1</f>
        <v>#REF!</v>
      </c>
      <c r="E41" s="27"/>
      <c r="F41" s="27"/>
      <c r="G41" s="26"/>
      <c r="H41" s="27"/>
      <c r="I41" s="27"/>
      <c r="J41" s="28"/>
    </row>
    <row r="42" spans="1:10" hidden="1" x14ac:dyDescent="0.25">
      <c r="A42" s="26"/>
      <c r="B42" s="46"/>
      <c r="C42" s="46">
        <v>0.16</v>
      </c>
      <c r="D42" s="46" t="e">
        <f>((NPV(C42,$H$15:$R$15)+(#REF!*(1+#REF!)/(C42-#REF!))/(1+C42)^(2040-2020))/$D$50)/$C$51-1</f>
        <v>#REF!</v>
      </c>
      <c r="E42" s="27"/>
      <c r="F42" s="27"/>
      <c r="G42" s="26"/>
      <c r="H42" s="27"/>
      <c r="I42" s="27"/>
      <c r="J42" s="28"/>
    </row>
    <row r="43" spans="1:10" hidden="1" x14ac:dyDescent="0.25">
      <c r="A43" s="26"/>
      <c r="B43" s="46"/>
      <c r="C43" s="46">
        <v>0.18</v>
      </c>
      <c r="D43" s="46" t="e">
        <f>((NPV(C43,$H$15:$R$15)+(#REF!*(1+#REF!)/(C43-#REF!))/(1+C43)^(2040-2020))/$D$50)/$C$51-1</f>
        <v>#REF!</v>
      </c>
      <c r="E43" s="27"/>
      <c r="F43" s="27"/>
      <c r="G43" s="26"/>
      <c r="H43" s="27"/>
      <c r="I43" s="27"/>
      <c r="J43" s="28"/>
    </row>
    <row r="44" spans="1:10" hidden="1" x14ac:dyDescent="0.25">
      <c r="A44" s="26"/>
      <c r="B44" s="46"/>
      <c r="C44" s="46">
        <v>0.2</v>
      </c>
      <c r="D44" s="46" t="e">
        <f>((NPV(C44,$H$15:$R$15)+(#REF!*(1+#REF!)/(C44-#REF!))/(1+C44)^(2040-2020))/$D$50)/$C$51-1</f>
        <v>#REF!</v>
      </c>
      <c r="E44" s="27"/>
      <c r="F44" s="27"/>
      <c r="G44" s="26"/>
      <c r="H44" s="27"/>
      <c r="I44" s="27"/>
      <c r="J44" s="28"/>
    </row>
    <row r="45" spans="1:10" x14ac:dyDescent="0.25">
      <c r="A45" s="26"/>
      <c r="B45" s="27"/>
      <c r="C45" s="27"/>
      <c r="D45" s="27"/>
      <c r="E45" s="27"/>
      <c r="F45" s="27"/>
      <c r="G45" s="26"/>
      <c r="H45" s="27"/>
      <c r="I45" s="27"/>
      <c r="J45" s="28"/>
    </row>
    <row r="46" spans="1:10" ht="16.5" thickBot="1" x14ac:dyDescent="0.3">
      <c r="A46" s="30"/>
      <c r="B46" s="31" t="s">
        <v>24</v>
      </c>
      <c r="C46" s="31"/>
      <c r="D46" s="47">
        <f>I33</f>
        <v>7.825E-2</v>
      </c>
      <c r="E46" s="31"/>
      <c r="F46" s="31"/>
      <c r="G46" s="30"/>
      <c r="H46" s="31"/>
      <c r="I46" s="31"/>
      <c r="J46" s="32"/>
    </row>
    <row r="48" spans="1:10" x14ac:dyDescent="0.25">
      <c r="A48" s="17"/>
      <c r="B48" s="18"/>
      <c r="C48" s="97">
        <v>44680</v>
      </c>
      <c r="D48" s="19" t="s">
        <v>3</v>
      </c>
      <c r="E48" s="20"/>
      <c r="F48" s="21"/>
      <c r="G48" s="22"/>
      <c r="H48" s="22"/>
      <c r="I48" s="22"/>
    </row>
    <row r="49" spans="1:17" x14ac:dyDescent="0.25">
      <c r="A49" s="48" t="s">
        <v>0</v>
      </c>
      <c r="B49" s="49" t="s">
        <v>5</v>
      </c>
      <c r="C49" s="79">
        <f>C50*C51</f>
        <v>41155.962119999997</v>
      </c>
      <c r="D49" s="51">
        <f>SUM(H19:R19)</f>
        <v>46283.454481508525</v>
      </c>
      <c r="E49" s="49" t="s">
        <v>39</v>
      </c>
    </row>
    <row r="50" spans="1:17" x14ac:dyDescent="0.25">
      <c r="A50" s="48"/>
      <c r="B50" s="49" t="s">
        <v>11</v>
      </c>
      <c r="C50" s="50">
        <v>217.30799999999999</v>
      </c>
      <c r="D50" s="50">
        <v>221.1</v>
      </c>
      <c r="E50" s="49"/>
    </row>
    <row r="51" spans="1:17" x14ac:dyDescent="0.25">
      <c r="A51" s="48"/>
      <c r="B51" s="49" t="s">
        <v>13</v>
      </c>
      <c r="C51" s="49">
        <v>189.39</v>
      </c>
      <c r="D51" s="62">
        <f>D49/(D50)</f>
        <v>209.33267517642935</v>
      </c>
      <c r="E51" s="49" t="s">
        <v>39</v>
      </c>
    </row>
    <row r="52" spans="1:17" x14ac:dyDescent="0.25">
      <c r="A52" s="48"/>
      <c r="B52" s="49" t="s">
        <v>2</v>
      </c>
      <c r="C52" s="49"/>
      <c r="D52" s="63">
        <f>IF(C51/D51-1&gt;0,0,C51/D51-1)*-1</f>
        <v>9.5267856103311677E-2</v>
      </c>
      <c r="E52" s="49"/>
    </row>
    <row r="53" spans="1:17" x14ac:dyDescent="0.25">
      <c r="A53" s="48"/>
      <c r="B53" s="49" t="s">
        <v>14</v>
      </c>
      <c r="C53" s="49"/>
      <c r="D53" s="64">
        <f>IF(C51/D51-1&lt;0,0,C51/D51-1)</f>
        <v>0</v>
      </c>
      <c r="E53" s="49"/>
    </row>
    <row r="54" spans="1:17" x14ac:dyDescent="0.25">
      <c r="A54" s="49"/>
      <c r="B54" s="49"/>
      <c r="C54" s="49"/>
      <c r="D54" s="52"/>
      <c r="E54" s="52"/>
    </row>
    <row r="55" spans="1:17" x14ac:dyDescent="0.25">
      <c r="A55" s="52" t="s">
        <v>23</v>
      </c>
      <c r="B55" s="49"/>
      <c r="C55" s="54">
        <f>D46</f>
        <v>7.825E-2</v>
      </c>
      <c r="D55" s="53"/>
      <c r="E55" s="49"/>
      <c r="J55" s="78"/>
    </row>
    <row r="56" spans="1:17" x14ac:dyDescent="0.25">
      <c r="A56" s="52"/>
      <c r="B56" s="49"/>
      <c r="C56" s="54"/>
      <c r="D56" s="53"/>
      <c r="E56" s="49"/>
    </row>
    <row r="57" spans="1:17" hidden="1" x14ac:dyDescent="0.25">
      <c r="A57" s="52" t="s">
        <v>26</v>
      </c>
      <c r="B57" s="82">
        <v>0.108</v>
      </c>
      <c r="C57" s="54"/>
      <c r="D57" s="83">
        <f>SUM(H57:Q57)*1000</f>
        <v>27015002.706582077</v>
      </c>
      <c r="E57" s="49"/>
      <c r="F57" s="1" t="s">
        <v>27</v>
      </c>
      <c r="H57" s="1">
        <f>H15/(1+$B$57)</f>
        <v>836.64259927797832</v>
      </c>
      <c r="I57" s="1">
        <f>I15/(1+$B$57)^2</f>
        <v>954.65860365702645</v>
      </c>
      <c r="J57" s="1">
        <f>J15/(1+$B$57)^3</f>
        <v>1116.7050823017082</v>
      </c>
      <c r="K57" s="1">
        <f>K15/(1+$B$57)^4</f>
        <v>1299.9250125749622</v>
      </c>
      <c r="L57" s="1">
        <f>L15/(1+$B$57)^5</f>
        <v>1346.8537133899424</v>
      </c>
      <c r="M57" s="1">
        <f>M15/(1+$B$57)^6</f>
        <v>1349.2848572769281</v>
      </c>
      <c r="N57" s="1">
        <f>N15/(1+$B$57)^7</f>
        <v>1372.2145022055579</v>
      </c>
      <c r="O57" s="1">
        <f>O15/(1+$B$57)^8</f>
        <v>1362.3068162690552</v>
      </c>
      <c r="P57" s="1">
        <f>P15/(1+$B$57)^9</f>
        <v>1368.5715072326441</v>
      </c>
      <c r="Q57" s="1">
        <f>(R15/(B57-R12))/(1+B57)^10</f>
        <v>16007.840012396271</v>
      </c>
    </row>
    <row r="58" spans="1:17" ht="16.5" thickBot="1" x14ac:dyDescent="0.3">
      <c r="A58" s="23"/>
      <c r="C58" s="73"/>
      <c r="D58" s="74"/>
    </row>
    <row r="59" spans="1:17" x14ac:dyDescent="0.25">
      <c r="A59" s="65" t="s">
        <v>47</v>
      </c>
      <c r="B59" s="24"/>
      <c r="C59" s="75">
        <v>27</v>
      </c>
      <c r="D59" s="24"/>
      <c r="E59" s="25"/>
    </row>
    <row r="60" spans="1:17" x14ac:dyDescent="0.25">
      <c r="A60" s="26" t="s">
        <v>25</v>
      </c>
      <c r="B60" s="27"/>
      <c r="C60" s="76"/>
      <c r="D60" s="27"/>
      <c r="E60" s="28"/>
    </row>
    <row r="61" spans="1:17" x14ac:dyDescent="0.25">
      <c r="A61" s="26"/>
      <c r="B61" s="27"/>
      <c r="C61" s="76"/>
      <c r="D61" s="27"/>
      <c r="E61" s="28"/>
    </row>
    <row r="62" spans="1:17" x14ac:dyDescent="0.25">
      <c r="A62" s="26" t="s">
        <v>44</v>
      </c>
      <c r="B62" s="27"/>
      <c r="C62" s="76"/>
      <c r="D62" s="27"/>
      <c r="E62" s="66">
        <f>Q17*C59</f>
        <v>501.09798561186665</v>
      </c>
    </row>
    <row r="63" spans="1:17" x14ac:dyDescent="0.25">
      <c r="A63" s="26"/>
      <c r="B63" s="27"/>
      <c r="C63" s="76"/>
      <c r="D63" s="27"/>
      <c r="E63" s="28"/>
    </row>
    <row r="64" spans="1:17" x14ac:dyDescent="0.25">
      <c r="A64" s="26" t="s">
        <v>17</v>
      </c>
      <c r="B64" s="27"/>
      <c r="C64" s="77">
        <v>0</v>
      </c>
      <c r="D64" s="27"/>
      <c r="E64" s="28"/>
    </row>
    <row r="65" spans="1:5" x14ac:dyDescent="0.25">
      <c r="A65" s="26"/>
      <c r="B65" s="27"/>
      <c r="C65" s="27"/>
      <c r="D65" s="27"/>
      <c r="E65" s="28"/>
    </row>
    <row r="66" spans="1:5" x14ac:dyDescent="0.25">
      <c r="A66" s="26" t="s">
        <v>18</v>
      </c>
      <c r="B66" s="27"/>
      <c r="C66" s="27"/>
      <c r="D66" s="27"/>
      <c r="E66" s="66">
        <f>SUM(H17:R17)*C64</f>
        <v>0</v>
      </c>
    </row>
    <row r="67" spans="1:5" x14ac:dyDescent="0.25">
      <c r="A67" s="26"/>
      <c r="B67" s="27"/>
      <c r="C67" s="27"/>
      <c r="D67" s="27"/>
      <c r="E67" s="67"/>
    </row>
    <row r="68" spans="1:5" x14ac:dyDescent="0.25">
      <c r="A68" s="68" t="s">
        <v>19</v>
      </c>
      <c r="B68" s="27"/>
      <c r="C68" s="27"/>
      <c r="D68" s="27"/>
      <c r="E68" s="69">
        <f>(E66*0.25)*-1</f>
        <v>0</v>
      </c>
    </row>
    <row r="69" spans="1:5" x14ac:dyDescent="0.25">
      <c r="A69" s="26"/>
      <c r="B69" s="27"/>
      <c r="C69" s="46"/>
      <c r="D69" s="46"/>
      <c r="E69" s="70"/>
    </row>
    <row r="70" spans="1:5" x14ac:dyDescent="0.25">
      <c r="A70" s="26" t="s">
        <v>20</v>
      </c>
      <c r="B70" s="27"/>
      <c r="C70" s="27"/>
      <c r="D70" s="27"/>
      <c r="E70" s="66">
        <f>SUM(E62:E68)</f>
        <v>501.09798561186665</v>
      </c>
    </row>
    <row r="71" spans="1:5" x14ac:dyDescent="0.25">
      <c r="A71" s="26"/>
      <c r="B71" s="27"/>
      <c r="C71" s="27"/>
      <c r="D71" s="27"/>
      <c r="E71" s="66"/>
    </row>
    <row r="72" spans="1:5" x14ac:dyDescent="0.25">
      <c r="A72" s="26" t="s">
        <v>21</v>
      </c>
      <c r="B72" s="27"/>
      <c r="C72" s="27"/>
      <c r="D72" s="27"/>
      <c r="E72" s="70">
        <f>E70/C51-1</f>
        <v>1.6458523977605295</v>
      </c>
    </row>
    <row r="73" spans="1:5" x14ac:dyDescent="0.25">
      <c r="A73" s="26"/>
      <c r="B73" s="27"/>
      <c r="C73" s="27"/>
      <c r="D73" s="27"/>
      <c r="E73" s="28"/>
    </row>
    <row r="74" spans="1:5" ht="16.5" thickBot="1" x14ac:dyDescent="0.3">
      <c r="A74" s="71" t="s">
        <v>22</v>
      </c>
      <c r="B74" s="72"/>
      <c r="C74" s="72"/>
      <c r="D74" s="72"/>
      <c r="E74" s="94">
        <f>(E70/C51)^(1/10)-1</f>
        <v>0.10219024075742533</v>
      </c>
    </row>
  </sheetData>
  <conditionalFormatting sqref="L6:L8">
    <cfRule type="top10" dxfId="3" priority="6" percent="1" rank="10"/>
  </conditionalFormatting>
  <conditionalFormatting sqref="G6:J8">
    <cfRule type="top10" dxfId="2" priority="5" percent="1" rank="10"/>
  </conditionalFormatting>
  <conditionalFormatting sqref="L9">
    <cfRule type="top10" dxfId="1" priority="4" percent="1" rank="10"/>
  </conditionalFormatting>
  <conditionalFormatting sqref="L2:L5">
    <cfRule type="top10" dxfId="0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Pessimistisch</vt:lpstr>
      <vt:lpstr>Optimistisch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Christian Lämmle</cp:lastModifiedBy>
  <cp:lastPrinted>2021-08-03T18:16:56Z</cp:lastPrinted>
  <dcterms:created xsi:type="dcterms:W3CDTF">2020-02-09T06:30:31Z</dcterms:created>
  <dcterms:modified xsi:type="dcterms:W3CDTF">2022-04-29T20:23:33Z</dcterms:modified>
</cp:coreProperties>
</file>