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Deutsche Post/"/>
    </mc:Choice>
  </mc:AlternateContent>
  <xr:revisionPtr revIDLastSave="389" documentId="13_ncr:1_{5B7E894B-7002-4BEF-A757-1B4A9DF51AA7}" xr6:coauthVersionLast="47" xr6:coauthVersionMax="47" xr10:uidLastSave="{B03E84B6-A737-42F9-8145-0DDB51A0FC3B}"/>
  <bookViews>
    <workbookView xWindow="28680" yWindow="-120" windowWidth="29040" windowHeight="15720" activeTab="1" xr2:uid="{00000000-000D-0000-FFFF-FFFF00000000}"/>
  </bookViews>
  <sheets>
    <sheet name="Pessimistsich" sheetId="33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32" l="1"/>
  <c r="F13" i="32"/>
  <c r="G13" i="32"/>
  <c r="J18" i="33"/>
  <c r="K18" i="33"/>
  <c r="L18" i="33" s="1"/>
  <c r="M18" i="33" s="1"/>
  <c r="N18" i="33" s="1"/>
  <c r="O18" i="33" s="1"/>
  <c r="P18" i="33" s="1"/>
  <c r="Q18" i="33" s="1"/>
  <c r="I18" i="33"/>
  <c r="K15" i="33"/>
  <c r="C49" i="33"/>
  <c r="I31" i="33"/>
  <c r="I33" i="33" s="1"/>
  <c r="D46" i="33" s="1"/>
  <c r="C55" i="33" s="1"/>
  <c r="I25" i="33"/>
  <c r="G16" i="33"/>
  <c r="F16" i="33"/>
  <c r="E16" i="33"/>
  <c r="D16" i="33"/>
  <c r="C16" i="33"/>
  <c r="J57" i="33"/>
  <c r="I17" i="33"/>
  <c r="H15" i="33"/>
  <c r="J14" i="33"/>
  <c r="I14" i="33"/>
  <c r="H14" i="33"/>
  <c r="J12" i="33"/>
  <c r="I12" i="33"/>
  <c r="H12" i="33"/>
  <c r="J18" i="32"/>
  <c r="K18" i="32" s="1"/>
  <c r="L18" i="32" s="1"/>
  <c r="M18" i="32" s="1"/>
  <c r="N18" i="32" s="1"/>
  <c r="O18" i="32" s="1"/>
  <c r="P18" i="32" s="1"/>
  <c r="Q18" i="32" s="1"/>
  <c r="I18" i="32"/>
  <c r="K12" i="32"/>
  <c r="K15" i="32"/>
  <c r="J15" i="32"/>
  <c r="I15" i="32"/>
  <c r="I57" i="32" s="1"/>
  <c r="H15" i="32"/>
  <c r="H17" i="32" s="1"/>
  <c r="C49" i="32"/>
  <c r="I31" i="32"/>
  <c r="I33" i="32" s="1"/>
  <c r="D46" i="32" s="1"/>
  <c r="C55" i="32" s="1"/>
  <c r="I25" i="32"/>
  <c r="G16" i="32"/>
  <c r="F16" i="32"/>
  <c r="E16" i="32"/>
  <c r="D16" i="32"/>
  <c r="C16" i="32"/>
  <c r="J14" i="32"/>
  <c r="I14" i="32"/>
  <c r="I16" i="32" s="1"/>
  <c r="H14" i="32"/>
  <c r="J12" i="32"/>
  <c r="I12" i="32"/>
  <c r="H12" i="32"/>
  <c r="G12" i="32"/>
  <c r="F12" i="32"/>
  <c r="L11" i="32"/>
  <c r="J17" i="33" l="1"/>
  <c r="H19" i="33"/>
  <c r="H16" i="33"/>
  <c r="I19" i="33"/>
  <c r="I16" i="33"/>
  <c r="J19" i="33"/>
  <c r="J16" i="33"/>
  <c r="H57" i="33"/>
  <c r="I57" i="33"/>
  <c r="H17" i="33"/>
  <c r="I17" i="32"/>
  <c r="J17" i="32"/>
  <c r="J16" i="32"/>
  <c r="L14" i="32"/>
  <c r="L15" i="32" s="1"/>
  <c r="M11" i="32"/>
  <c r="H19" i="32"/>
  <c r="I19" i="32"/>
  <c r="J19" i="32"/>
  <c r="H57" i="32"/>
  <c r="K14" i="32"/>
  <c r="H16" i="32"/>
  <c r="J57" i="32"/>
  <c r="K57" i="32" l="1"/>
  <c r="K19" i="32"/>
  <c r="K17" i="32"/>
  <c r="K16" i="32"/>
  <c r="M14" i="32"/>
  <c r="M15" i="32" s="1"/>
  <c r="N11" i="32"/>
  <c r="L19" i="32"/>
  <c r="L17" i="32"/>
  <c r="L57" i="32"/>
  <c r="M19" i="32" l="1"/>
  <c r="M17" i="32"/>
  <c r="M57" i="32"/>
  <c r="N14" i="32"/>
  <c r="N15" i="32" s="1"/>
  <c r="O11" i="32"/>
  <c r="O14" i="32" l="1"/>
  <c r="O15" i="32" s="1"/>
  <c r="P11" i="32"/>
  <c r="N19" i="32"/>
  <c r="N17" i="32"/>
  <c r="N57" i="32"/>
  <c r="Q11" i="32" l="1"/>
  <c r="P14" i="32"/>
  <c r="P15" i="32" s="1"/>
  <c r="O17" i="32"/>
  <c r="O57" i="32"/>
  <c r="O19" i="32"/>
  <c r="P17" i="32" l="1"/>
  <c r="P19" i="32"/>
  <c r="P57" i="32"/>
  <c r="Q14" i="32"/>
  <c r="R11" i="32"/>
  <c r="R14" i="32" s="1"/>
  <c r="R15" i="32" s="1"/>
  <c r="D43" i="32" l="1"/>
  <c r="Q15" i="32"/>
  <c r="Q57" i="32"/>
  <c r="D57" i="32" s="1"/>
  <c r="R19" i="32"/>
  <c r="D44" i="32"/>
  <c r="D40" i="32"/>
  <c r="D42" i="32"/>
  <c r="D41" i="32"/>
  <c r="Q17" i="32"/>
  <c r="Q19" i="32"/>
  <c r="E62" i="32" l="1"/>
  <c r="E66" i="32"/>
  <c r="E68" i="32" s="1"/>
  <c r="D49" i="32"/>
  <c r="D51" i="32" s="1"/>
  <c r="D53" i="32" l="1"/>
  <c r="D52" i="32"/>
  <c r="E70" i="32"/>
  <c r="E74" i="32" l="1"/>
  <c r="E72" i="32"/>
  <c r="K11" i="33"/>
  <c r="K19" i="33" l="1"/>
  <c r="K57" i="33"/>
  <c r="K17" i="33"/>
  <c r="L11" i="33"/>
  <c r="K14" i="33"/>
  <c r="K16" i="33" s="1"/>
  <c r="L14" i="33" l="1"/>
  <c r="L15" i="33" s="1"/>
  <c r="M11" i="33"/>
  <c r="N11" i="33" l="1"/>
  <c r="M14" i="33"/>
  <c r="M15" i="33" s="1"/>
  <c r="L19" i="33"/>
  <c r="L57" i="33"/>
  <c r="L17" i="33"/>
  <c r="M17" i="33" l="1"/>
  <c r="M19" i="33"/>
  <c r="M57" i="33"/>
  <c r="O11" i="33"/>
  <c r="N14" i="33"/>
  <c r="N15" i="33" s="1"/>
  <c r="N57" i="33" l="1"/>
  <c r="N17" i="33"/>
  <c r="N19" i="33"/>
  <c r="O14" i="33"/>
  <c r="O15" i="33" s="1"/>
  <c r="P11" i="33"/>
  <c r="O57" i="33" l="1"/>
  <c r="O19" i="33"/>
  <c r="O17" i="33"/>
  <c r="P14" i="33"/>
  <c r="P15" i="33" s="1"/>
  <c r="Q11" i="33"/>
  <c r="Q14" i="33" l="1"/>
  <c r="Q15" i="33" s="1"/>
  <c r="R11" i="33"/>
  <c r="R14" i="33" s="1"/>
  <c r="R15" i="33" s="1"/>
  <c r="D40" i="33"/>
  <c r="D41" i="33"/>
  <c r="P57" i="33"/>
  <c r="P19" i="33"/>
  <c r="P17" i="33"/>
  <c r="D43" i="33"/>
  <c r="Q19" i="33" l="1"/>
  <c r="Q17" i="33"/>
  <c r="R19" i="33"/>
  <c r="D49" i="33" s="1"/>
  <c r="D51" i="33" s="1"/>
  <c r="Q57" i="33"/>
  <c r="D57" i="33" s="1"/>
  <c r="D42" i="33"/>
  <c r="D44" i="33"/>
  <c r="D53" i="33" l="1"/>
  <c r="D52" i="33"/>
  <c r="E62" i="33"/>
  <c r="E66" i="33"/>
  <c r="E68" i="33" s="1"/>
  <c r="E70" i="33" l="1"/>
  <c r="E72" i="33" l="1"/>
  <c r="E74" i="33"/>
</calcChain>
</file>

<file path=xl/sharedStrings.xml><?xml version="1.0" encoding="utf-8"?>
<sst xmlns="http://schemas.openxmlformats.org/spreadsheetml/2006/main" count="98" uniqueCount="48">
  <si>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</si>
  <si>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</si>
  <si>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</si>
  <si>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</si>
  <si>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</si>
  <si>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</si>
  <si>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</si>
  <si>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</si>
  <si>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</si>
  <si>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</si>
  <si>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</si>
  <si>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</si>
  <si>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</si>
  <si>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</si>
  <si>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</si>
  <si>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</si>
  <si>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</si>
  <si>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</si>
  <si>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</si>
  <si>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</si>
  <si>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</si>
  <si>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</si>
  <si>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</si>
  <si>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</si>
  <si>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</si>
  <si>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</si>
  <si>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</si>
  <si>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</si>
  <si>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</si>
  <si>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</si>
  <si>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</si>
  <si>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</si>
  <si>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</si>
  <si>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</si>
  <si>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</si>
  <si>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</si>
  <si>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</si>
  <si>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</si>
  <si>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</si>
  <si>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</si>
  <si>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</si>
  <si>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</si>
  <si>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</si>
  <si>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</si>
  <si>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EUR</t>
  </si>
  <si>
    <t>2032ff.</t>
  </si>
  <si>
    <t xml:space="preserve"> Annahmen für Deutsche Post</t>
  </si>
  <si>
    <t>KGV Multiple in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</si>
</sst>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9" fontId="3" fillId="6" borderId="0" xfId="1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0" fontId="5" fillId="7" borderId="0" xfId="0" applyFont="1" applyFill="1"/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9" fontId="9" fillId="7" borderId="0" xfId="1" applyFont="1" applyFill="1"/>
    <xf numFmtId="4" fontId="9" fillId="5" borderId="0" xfId="0" applyNumberFormat="1" applyFont="1" applyFill="1"/>
    <xf numFmtId="165" fontId="0" fillId="10" borderId="10" xfId="1" applyNumberFormat="1" applyFont="1" applyFill="1" applyBorder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A4710EC-0B47-44D9-9BAF-FA865B83A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E971-FA0E-4F94-B59E-44CD24EAF5B0}">
  <dimension ref="A2:AB74"/>
  <sheetViews>
    <sheetView topLeftCell="A5" zoomScale="90" zoomScaleNormal="90" workbookViewId="0">
      <selection activeCell="C28" sqref="C2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46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37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0">
        <v>2022</v>
      </c>
      <c r="I10" s="60">
        <v>2023</v>
      </c>
      <c r="J10" s="60">
        <v>2024</v>
      </c>
      <c r="K10" s="60">
        <v>2025</v>
      </c>
      <c r="L10" s="60">
        <v>2026</v>
      </c>
      <c r="M10" s="60">
        <v>2027</v>
      </c>
      <c r="N10" s="60">
        <v>2028</v>
      </c>
      <c r="O10" s="60">
        <v>2029</v>
      </c>
      <c r="P10" s="60">
        <v>2030</v>
      </c>
      <c r="Q10" s="60">
        <v>2031</v>
      </c>
      <c r="R10" s="59" t="s">
        <v>45</v>
      </c>
    </row>
    <row r="11" spans="1:28" x14ac:dyDescent="0.25">
      <c r="A11" s="5"/>
      <c r="B11" s="4" t="s">
        <v>4</v>
      </c>
      <c r="C11" s="92"/>
      <c r="D11" s="92"/>
      <c r="E11" s="92">
        <v>63340</v>
      </c>
      <c r="F11" s="92">
        <v>66720</v>
      </c>
      <c r="G11" s="92">
        <v>81750</v>
      </c>
      <c r="H11" s="80">
        <v>83753.8</v>
      </c>
      <c r="I11" s="80">
        <v>84519.75</v>
      </c>
      <c r="J11" s="80">
        <v>86788.84</v>
      </c>
      <c r="K11" s="80">
        <f t="shared" ref="K11:R11" si="0">J11*(1+K12)</f>
        <v>83317.286399999997</v>
      </c>
      <c r="L11" s="80">
        <f t="shared" si="0"/>
        <v>84983.632127999997</v>
      </c>
      <c r="M11" s="80">
        <f t="shared" si="0"/>
        <v>86258.386609919995</v>
      </c>
      <c r="N11" s="80">
        <f t="shared" si="0"/>
        <v>87552.26240906879</v>
      </c>
      <c r="O11" s="80">
        <f t="shared" si="0"/>
        <v>88427.785033159482</v>
      </c>
      <c r="P11" s="80">
        <f t="shared" si="0"/>
        <v>88869.923958325264</v>
      </c>
      <c r="Q11" s="80">
        <f t="shared" si="0"/>
        <v>88869.923958325264</v>
      </c>
      <c r="R11" s="80">
        <f t="shared" si="0"/>
        <v>88869.923958325264</v>
      </c>
    </row>
    <row r="12" spans="1:28" x14ac:dyDescent="0.25">
      <c r="A12" s="5"/>
      <c r="B12" s="4" t="s">
        <v>1</v>
      </c>
      <c r="C12" s="98"/>
      <c r="D12" s="98"/>
      <c r="E12" s="98"/>
      <c r="F12" s="98">
        <v>5.3362803915377288E-2</v>
      </c>
      <c r="G12" s="98">
        <v>0.22526978417266186</v>
      </c>
      <c r="H12" s="91">
        <f t="shared" ref="H12:J12" si="1">H11/G11-1</f>
        <v>2.4511314984709598E-2</v>
      </c>
      <c r="I12" s="97">
        <f t="shared" si="1"/>
        <v>9.1452566928307277E-3</v>
      </c>
      <c r="J12" s="97">
        <f t="shared" si="1"/>
        <v>2.684686123657487E-2</v>
      </c>
      <c r="K12" s="97">
        <v>-0.04</v>
      </c>
      <c r="L12" s="79">
        <v>0.02</v>
      </c>
      <c r="M12" s="79">
        <v>1.4999999999999999E-2</v>
      </c>
      <c r="N12" s="79">
        <v>1.4999999999999999E-2</v>
      </c>
      <c r="O12" s="79">
        <v>0.01</v>
      </c>
      <c r="P12" s="79">
        <v>5.0000000000000001E-3</v>
      </c>
      <c r="Q12" s="79">
        <v>0</v>
      </c>
      <c r="R12" s="13">
        <v>0</v>
      </c>
    </row>
    <row r="13" spans="1:28" ht="15.95" customHeight="1" x14ac:dyDescent="0.25">
      <c r="A13" s="5"/>
      <c r="B13" s="4" t="s">
        <v>15</v>
      </c>
      <c r="C13" s="98"/>
      <c r="D13" s="98"/>
      <c r="E13" s="98">
        <v>6.5203662772339757E-2</v>
      </c>
      <c r="F13" s="98">
        <v>7.2691846522781781E-2</v>
      </c>
      <c r="G13" s="98">
        <v>9.7614678899082569E-2</v>
      </c>
      <c r="H13" s="79">
        <v>9.5299999999999996E-2</v>
      </c>
      <c r="I13" s="79">
        <v>0.08</v>
      </c>
      <c r="J13" s="79">
        <v>8.3000000000000004E-2</v>
      </c>
      <c r="K13" s="96">
        <v>5.5E-2</v>
      </c>
      <c r="L13" s="79">
        <v>6.5000000000000002E-2</v>
      </c>
      <c r="M13" s="79">
        <v>7.0000000000000007E-2</v>
      </c>
      <c r="N13" s="79">
        <v>7.0000000000000007E-2</v>
      </c>
      <c r="O13" s="79">
        <v>7.4999999999999997E-2</v>
      </c>
      <c r="P13" s="79">
        <v>7.0000000000000007E-2</v>
      </c>
      <c r="Q13" s="79">
        <v>7.4999999999999997E-2</v>
      </c>
      <c r="R13" s="79">
        <v>0.08</v>
      </c>
    </row>
    <row r="14" spans="1:28" ht="17.100000000000001" customHeight="1" x14ac:dyDescent="0.25">
      <c r="A14" s="5"/>
      <c r="B14" s="4" t="s">
        <v>16</v>
      </c>
      <c r="C14" s="92"/>
      <c r="D14" s="92"/>
      <c r="E14" s="92">
        <v>4130</v>
      </c>
      <c r="F14" s="92">
        <v>4850</v>
      </c>
      <c r="G14" s="92">
        <v>7980</v>
      </c>
      <c r="H14" s="80">
        <f>H11*H13</f>
        <v>7981.7371400000002</v>
      </c>
      <c r="I14" s="80">
        <f t="shared" ref="I14:R14" si="2">I11*I13</f>
        <v>6761.58</v>
      </c>
      <c r="J14" s="80">
        <f t="shared" si="2"/>
        <v>7203.47372</v>
      </c>
      <c r="K14" s="80">
        <f t="shared" si="2"/>
        <v>4582.4507519999997</v>
      </c>
      <c r="L14" s="80">
        <f t="shared" si="2"/>
        <v>5523.9360883199997</v>
      </c>
      <c r="M14" s="80">
        <f t="shared" si="2"/>
        <v>6038.0870626944006</v>
      </c>
      <c r="N14" s="80">
        <f t="shared" si="2"/>
        <v>6128.6583686348158</v>
      </c>
      <c r="O14" s="80">
        <f t="shared" si="2"/>
        <v>6632.0838774869608</v>
      </c>
      <c r="P14" s="80">
        <f t="shared" si="2"/>
        <v>6220.8946770827688</v>
      </c>
      <c r="Q14" s="80">
        <f t="shared" si="2"/>
        <v>6665.2442968743944</v>
      </c>
      <c r="R14" s="80">
        <f t="shared" si="2"/>
        <v>7109.593916666021</v>
      </c>
    </row>
    <row r="15" spans="1:28" x14ac:dyDescent="0.25">
      <c r="A15" s="12">
        <v>0.3</v>
      </c>
      <c r="B15" s="4" t="s">
        <v>43</v>
      </c>
      <c r="C15" s="92"/>
      <c r="D15" s="92"/>
      <c r="E15" s="92">
        <v>2620</v>
      </c>
      <c r="F15" s="92">
        <v>2980</v>
      </c>
      <c r="G15" s="92">
        <v>5050</v>
      </c>
      <c r="H15" s="80">
        <f>H11*0.0592</f>
        <v>4958.2249600000005</v>
      </c>
      <c r="I15" s="80">
        <v>4500</v>
      </c>
      <c r="J15" s="80">
        <v>4900</v>
      </c>
      <c r="K15" s="80">
        <f t="shared" ref="K15:R15" si="3">K14*(1-$A$15)</f>
        <v>3207.7155263999998</v>
      </c>
      <c r="L15" s="80">
        <f t="shared" si="3"/>
        <v>3866.7552618239997</v>
      </c>
      <c r="M15" s="80">
        <f t="shared" si="3"/>
        <v>4226.6609438860805</v>
      </c>
      <c r="N15" s="80">
        <f t="shared" si="3"/>
        <v>4290.0608580443704</v>
      </c>
      <c r="O15" s="80">
        <f t="shared" si="3"/>
        <v>4642.4587142408718</v>
      </c>
      <c r="P15" s="80">
        <f t="shared" si="3"/>
        <v>4354.6262739579379</v>
      </c>
      <c r="Q15" s="80">
        <f t="shared" si="3"/>
        <v>4665.6710078120759</v>
      </c>
      <c r="R15" s="80">
        <f t="shared" si="3"/>
        <v>4976.7157416662139</v>
      </c>
    </row>
    <row r="16" spans="1:28" ht="32.25" hidden="1" thickBot="1" x14ac:dyDescent="0.3">
      <c r="A16" s="14" t="s">
        <v>6</v>
      </c>
      <c r="B16" s="15"/>
      <c r="C16" s="16" t="e">
        <f t="shared" ref="C16:K16" si="4">C15/C14</f>
        <v>#DIV/0!</v>
      </c>
      <c r="D16" s="16" t="e">
        <f t="shared" si="4"/>
        <v>#DIV/0!</v>
      </c>
      <c r="E16" s="16">
        <f t="shared" si="4"/>
        <v>0.63438256658595638</v>
      </c>
      <c r="F16" s="16">
        <f t="shared" si="4"/>
        <v>0.61443298969072169</v>
      </c>
      <c r="G16" s="16">
        <f t="shared" si="4"/>
        <v>0.6328320802005013</v>
      </c>
      <c r="H16" s="16">
        <f t="shared" si="4"/>
        <v>0.62119622245540407</v>
      </c>
      <c r="I16" s="16">
        <f t="shared" si="4"/>
        <v>0.66552492168990085</v>
      </c>
      <c r="J16" s="16">
        <f t="shared" si="4"/>
        <v>0.68022737230170671</v>
      </c>
      <c r="K16" s="16">
        <f t="shared" si="4"/>
        <v>0.7</v>
      </c>
    </row>
    <row r="17" spans="1:18" x14ac:dyDescent="0.25">
      <c r="A17" s="2" t="s">
        <v>40</v>
      </c>
      <c r="C17" s="92"/>
      <c r="D17" s="92"/>
      <c r="E17" s="92"/>
      <c r="F17" s="92"/>
      <c r="G17" s="92"/>
      <c r="H17" s="80">
        <f>H15/H18</f>
        <v>4.0570489131235243</v>
      </c>
      <c r="I17" s="80">
        <f t="shared" ref="I17:Q17" si="5">I15/I18</f>
        <v>3.682108064143959</v>
      </c>
      <c r="J17" s="80">
        <f t="shared" si="5"/>
        <v>4.0094065587345336</v>
      </c>
      <c r="K17" s="80">
        <f t="shared" si="5"/>
        <v>2.6247011571638277</v>
      </c>
      <c r="L17" s="80">
        <f t="shared" si="5"/>
        <v>3.1639579403629412</v>
      </c>
      <c r="M17" s="80">
        <f t="shared" si="5"/>
        <v>3.4584494101967231</v>
      </c>
      <c r="N17" s="80">
        <f t="shared" si="5"/>
        <v>3.5103261513496729</v>
      </c>
      <c r="O17" s="80">
        <f t="shared" si="5"/>
        <v>3.7986743709248243</v>
      </c>
      <c r="P17" s="80">
        <f t="shared" si="5"/>
        <v>3.5631565599274855</v>
      </c>
      <c r="Q17" s="80">
        <f t="shared" si="5"/>
        <v>3.8176677427794483</v>
      </c>
      <c r="R17" s="80"/>
    </row>
    <row r="18" spans="1:18" ht="32.25" thickBot="1" x14ac:dyDescent="0.3">
      <c r="A18" s="2" t="s">
        <v>42</v>
      </c>
      <c r="C18" s="92"/>
      <c r="D18" s="92"/>
      <c r="E18" s="92"/>
      <c r="F18" s="92"/>
      <c r="G18" s="92"/>
      <c r="H18" s="80">
        <v>1222.126</v>
      </c>
      <c r="I18" s="80">
        <f>H18</f>
        <v>1222.126</v>
      </c>
      <c r="J18" s="80">
        <f t="shared" ref="J18:Q18" si="6">I18</f>
        <v>1222.126</v>
      </c>
      <c r="K18" s="80">
        <f t="shared" si="6"/>
        <v>1222.126</v>
      </c>
      <c r="L18" s="80">
        <f t="shared" si="6"/>
        <v>1222.126</v>
      </c>
      <c r="M18" s="80">
        <f t="shared" si="6"/>
        <v>1222.126</v>
      </c>
      <c r="N18" s="80">
        <f t="shared" si="6"/>
        <v>1222.126</v>
      </c>
      <c r="O18" s="80">
        <f t="shared" si="6"/>
        <v>1222.126</v>
      </c>
      <c r="P18" s="80">
        <f t="shared" si="6"/>
        <v>1222.126</v>
      </c>
      <c r="Q18" s="80">
        <f t="shared" si="6"/>
        <v>1222.126</v>
      </c>
      <c r="R18" s="80"/>
    </row>
    <row r="19" spans="1:18" ht="16.5" thickBot="1" x14ac:dyDescent="0.3">
      <c r="A19" s="2"/>
      <c r="F19" s="55" t="s">
        <v>12</v>
      </c>
      <c r="G19" s="56"/>
      <c r="H19" s="57">
        <f>H15/(1+$C$55)</f>
        <v>4610.1580288238038</v>
      </c>
      <c r="I19" s="57">
        <f>I15/(1+$C$55)^2</f>
        <v>3890.3769580753533</v>
      </c>
      <c r="J19" s="57">
        <f>J15/(1+$C$55)^3</f>
        <v>3938.8082224431496</v>
      </c>
      <c r="K19" s="57">
        <f>K15/(1+$C$55)^4</f>
        <v>2397.4755530209723</v>
      </c>
      <c r="L19" s="57">
        <f>L15/(1+$C$55)^5</f>
        <v>2687.1667159509821</v>
      </c>
      <c r="M19" s="57">
        <f>M15/(1+$C$55)^6</f>
        <v>2731.0831479929525</v>
      </c>
      <c r="N19" s="57">
        <f>N15/(1+$C$55)^7</f>
        <v>2577.4517854140831</v>
      </c>
      <c r="O19" s="57">
        <f>O15/(1+$C$55)^8</f>
        <v>2593.3714916001431</v>
      </c>
      <c r="P19" s="57">
        <f>P15/(1+$C$55)^9</f>
        <v>2261.8153966721843</v>
      </c>
      <c r="Q19" s="57">
        <f>Q15/(1+$C$55)^10</f>
        <v>2253.2530351386577</v>
      </c>
      <c r="R19" s="58">
        <f>(R15/(C55-R12))/(1+C55)^10</f>
        <v>31834.038465535112</v>
      </c>
    </row>
    <row r="20" spans="1:18" x14ac:dyDescent="0.25">
      <c r="A20" s="2"/>
      <c r="C20" s="83"/>
      <c r="D20" s="94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28</v>
      </c>
      <c r="B23" s="35"/>
      <c r="C23" s="35"/>
      <c r="D23" s="36"/>
      <c r="E23" s="24"/>
      <c r="F23" s="35"/>
      <c r="G23" s="64" t="s">
        <v>29</v>
      </c>
      <c r="H23" s="24"/>
      <c r="I23" s="87">
        <v>1.4999999999999999E-2</v>
      </c>
      <c r="J23" s="25" t="s">
        <v>30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8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31</v>
      </c>
      <c r="H25" s="27"/>
      <c r="I25" s="89">
        <f>(I27-I23)*I29</f>
        <v>6.0500000000000012E-2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8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32</v>
      </c>
      <c r="H27" s="27"/>
      <c r="I27" s="90">
        <v>7.0000000000000007E-2</v>
      </c>
      <c r="J27" s="28" t="s">
        <v>33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8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39</v>
      </c>
      <c r="H29" s="27"/>
      <c r="I29" s="88">
        <v>1.1000000000000001</v>
      </c>
      <c r="J29" s="28" t="s">
        <v>34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8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35</v>
      </c>
      <c r="H31" s="27"/>
      <c r="I31" s="90">
        <f>I23+(I27-I23)*I29</f>
        <v>7.5500000000000012E-2</v>
      </c>
      <c r="J31" s="28" t="s">
        <v>36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4" t="s">
        <v>38</v>
      </c>
      <c r="H33" s="85"/>
      <c r="I33" s="86">
        <f>I31</f>
        <v>7.5500000000000012E-2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((NPV(C40,$H$15:$R$15)+(#REF!*(1+#REF!)/(C40-#REF!))/(1+C40)^(2040-2020))/$D$50)/$C$51-1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((NPV(C41,$H$15:$R$15)+(#REF!*(1+#REF!)/(C41-#REF!))/(1+C41)^(2040-2020))/$D$50)/$C$51-1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((NPV(C42,$H$15:$R$15)+(#REF!*(1+#REF!)/(C42-#REF!))/(1+C42)^(2040-2020))/$D$50)/$C$51-1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((NPV(C43,$H$15:$R$15)+(#REF!*(1+#REF!)/(C43-#REF!))/(1+C43)^(2040-2020))/$D$50)/$C$51-1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((NPV(C44,$H$15:$R$15)+(#REF!*(1+#REF!)/(C44-#REF!))/(1+C44)^(2040-2020))/$D$50)/$C$51-1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24</v>
      </c>
      <c r="C46" s="31"/>
      <c r="D46" s="47">
        <f>I33</f>
        <v>7.5500000000000012E-2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5">
        <v>44687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8">
        <f>C50*C51</f>
        <v>47638.471479999993</v>
      </c>
      <c r="D49" s="51">
        <f>SUM(H19:R19)</f>
        <v>61774.998800667396</v>
      </c>
      <c r="E49" s="49" t="s">
        <v>44</v>
      </c>
    </row>
    <row r="50" spans="1:17" x14ac:dyDescent="0.25">
      <c r="A50" s="48"/>
      <c r="B50" s="49" t="s">
        <v>11</v>
      </c>
      <c r="C50" s="50">
        <v>1222.126</v>
      </c>
      <c r="D50" s="50">
        <v>1222.1600000000001</v>
      </c>
      <c r="E50" s="49"/>
    </row>
    <row r="51" spans="1:17" x14ac:dyDescent="0.25">
      <c r="A51" s="48"/>
      <c r="B51" s="49" t="s">
        <v>13</v>
      </c>
      <c r="C51" s="49">
        <v>38.979999999999997</v>
      </c>
      <c r="D51" s="61">
        <f>D49/(D50)</f>
        <v>50.545754075298973</v>
      </c>
      <c r="E51" s="49" t="s">
        <v>44</v>
      </c>
    </row>
    <row r="52" spans="1:17" x14ac:dyDescent="0.25">
      <c r="A52" s="48"/>
      <c r="B52" s="49" t="s">
        <v>2</v>
      </c>
      <c r="C52" s="49"/>
      <c r="D52" s="62">
        <f>IF(C51/D51-1&gt;0,0,C51/D51-1)*-1</f>
        <v>0.22881751962923047</v>
      </c>
      <c r="E52" s="49"/>
    </row>
    <row r="53" spans="1:17" x14ac:dyDescent="0.25">
      <c r="A53" s="48"/>
      <c r="B53" s="49" t="s">
        <v>14</v>
      </c>
      <c r="C53" s="49"/>
      <c r="D53" s="63">
        <f>IF(C51/D51-1&lt;0,0,C51/D51-1)</f>
        <v>0</v>
      </c>
      <c r="E53" s="49"/>
    </row>
    <row r="54" spans="1:17" x14ac:dyDescent="0.25">
      <c r="A54" s="49"/>
      <c r="B54" s="49"/>
      <c r="C54" s="49"/>
      <c r="D54" s="52"/>
      <c r="E54" s="52"/>
    </row>
    <row r="55" spans="1:17" x14ac:dyDescent="0.25">
      <c r="A55" s="52" t="s">
        <v>23</v>
      </c>
      <c r="B55" s="49"/>
      <c r="C55" s="54">
        <f>D46</f>
        <v>7.5500000000000012E-2</v>
      </c>
      <c r="D55" s="53"/>
      <c r="E55" s="49"/>
      <c r="J55" s="77"/>
    </row>
    <row r="56" spans="1:17" x14ac:dyDescent="0.25">
      <c r="A56" s="52"/>
      <c r="B56" s="49"/>
      <c r="C56" s="54"/>
      <c r="D56" s="53"/>
      <c r="E56" s="49"/>
    </row>
    <row r="57" spans="1:17" hidden="1" x14ac:dyDescent="0.25">
      <c r="A57" s="52" t="s">
        <v>26</v>
      </c>
      <c r="B57" s="81">
        <v>0.108</v>
      </c>
      <c r="C57" s="54"/>
      <c r="D57" s="82">
        <f>SUM(H57:Q57)*1000</f>
        <v>40861652.136919275</v>
      </c>
      <c r="E57" s="49"/>
      <c r="F57" s="1" t="s">
        <v>27</v>
      </c>
      <c r="H57" s="1">
        <f>H15/(1+$B$57)</f>
        <v>4474.9322743682314</v>
      </c>
      <c r="I57" s="1">
        <f>I15/(1+$B$57)^2</f>
        <v>3665.4980515841457</v>
      </c>
      <c r="J57" s="1">
        <f>J15/(1+$B$57)^3</f>
        <v>3602.2744590377688</v>
      </c>
      <c r="K57" s="1">
        <f>K15/(1+$B$57)^4</f>
        <v>2128.3194048127916</v>
      </c>
      <c r="L57" s="1">
        <f>L15/(1+$B$57)^5</f>
        <v>2315.5165168869062</v>
      </c>
      <c r="M57" s="1">
        <f>M15/(1+$B$57)^6</f>
        <v>2284.3300267261134</v>
      </c>
      <c r="N57" s="1">
        <f>N15/(1+$B$57)^7</f>
        <v>2092.5947446994624</v>
      </c>
      <c r="O57" s="1">
        <f>O15/(1+$B$57)^8</f>
        <v>2043.7603392339377</v>
      </c>
      <c r="P57" s="1">
        <f>P15/(1+$B$57)^9</f>
        <v>1730.1870019868531</v>
      </c>
      <c r="Q57" s="1">
        <f>(R15/(B57-R12))/(1+B57)^10</f>
        <v>16524.239317583069</v>
      </c>
    </row>
    <row r="58" spans="1:17" ht="16.5" thickBot="1" x14ac:dyDescent="0.3">
      <c r="A58" s="23"/>
      <c r="C58" s="72"/>
      <c r="D58" s="73"/>
    </row>
    <row r="59" spans="1:17" x14ac:dyDescent="0.25">
      <c r="A59" s="64" t="s">
        <v>47</v>
      </c>
      <c r="B59" s="24"/>
      <c r="C59" s="74">
        <v>11</v>
      </c>
      <c r="D59" s="24"/>
      <c r="E59" s="25"/>
    </row>
    <row r="60" spans="1:17" x14ac:dyDescent="0.25">
      <c r="A60" s="26" t="s">
        <v>25</v>
      </c>
      <c r="B60" s="27"/>
      <c r="C60" s="75"/>
      <c r="D60" s="27"/>
      <c r="E60" s="28"/>
    </row>
    <row r="61" spans="1:17" x14ac:dyDescent="0.25">
      <c r="A61" s="26"/>
      <c r="B61" s="27"/>
      <c r="C61" s="75"/>
      <c r="D61" s="27"/>
      <c r="E61" s="28"/>
    </row>
    <row r="62" spans="1:17" x14ac:dyDescent="0.25">
      <c r="A62" s="26" t="s">
        <v>41</v>
      </c>
      <c r="B62" s="27"/>
      <c r="C62" s="75"/>
      <c r="D62" s="27"/>
      <c r="E62" s="65">
        <f>Q17*C59</f>
        <v>41.994345170573929</v>
      </c>
    </row>
    <row r="63" spans="1:17" x14ac:dyDescent="0.25">
      <c r="A63" s="26"/>
      <c r="B63" s="27"/>
      <c r="C63" s="75"/>
      <c r="D63" s="27"/>
      <c r="E63" s="28"/>
    </row>
    <row r="64" spans="1:17" x14ac:dyDescent="0.25">
      <c r="A64" s="26" t="s">
        <v>17</v>
      </c>
      <c r="B64" s="27"/>
      <c r="C64" s="76">
        <v>0.55000000000000004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5">
        <f>SUM(H17:R17)*C64</f>
        <v>19.627023277788819</v>
      </c>
    </row>
    <row r="67" spans="1:5" x14ac:dyDescent="0.25">
      <c r="A67" s="26"/>
      <c r="B67" s="27"/>
      <c r="C67" s="27"/>
      <c r="D67" s="27"/>
      <c r="E67" s="66"/>
    </row>
    <row r="68" spans="1:5" x14ac:dyDescent="0.25">
      <c r="A68" s="67" t="s">
        <v>19</v>
      </c>
      <c r="B68" s="27"/>
      <c r="C68" s="27"/>
      <c r="D68" s="27"/>
      <c r="E68" s="68">
        <f>(E66*0.25)*-1</f>
        <v>-4.9067558194472047</v>
      </c>
    </row>
    <row r="69" spans="1:5" x14ac:dyDescent="0.25">
      <c r="A69" s="26"/>
      <c r="B69" s="27"/>
      <c r="C69" s="46"/>
      <c r="D69" s="46"/>
      <c r="E69" s="69"/>
    </row>
    <row r="70" spans="1:5" x14ac:dyDescent="0.25">
      <c r="A70" s="26" t="s">
        <v>20</v>
      </c>
      <c r="B70" s="27"/>
      <c r="C70" s="27"/>
      <c r="D70" s="27"/>
      <c r="E70" s="65">
        <f>SUM(E62:E68)</f>
        <v>56.714612628915539</v>
      </c>
    </row>
    <row r="71" spans="1:5" x14ac:dyDescent="0.25">
      <c r="A71" s="26"/>
      <c r="B71" s="27"/>
      <c r="C71" s="27"/>
      <c r="D71" s="27"/>
      <c r="E71" s="65"/>
    </row>
    <row r="72" spans="1:5" x14ac:dyDescent="0.25">
      <c r="A72" s="26" t="s">
        <v>21</v>
      </c>
      <c r="B72" s="27"/>
      <c r="C72" s="27"/>
      <c r="D72" s="27"/>
      <c r="E72" s="69">
        <f>E70/C51-1</f>
        <v>0.45496697354837212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70" t="s">
        <v>22</v>
      </c>
      <c r="B74" s="71"/>
      <c r="C74" s="71"/>
      <c r="D74" s="71"/>
      <c r="E74" s="93">
        <f>(E70/C51)^(1/10)-1</f>
        <v>3.8210253071277789E-2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zoomScale="90" zoomScaleNormal="90" workbookViewId="0">
      <selection activeCell="C26" sqref="C26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46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37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0">
        <v>2022</v>
      </c>
      <c r="I10" s="60">
        <v>2023</v>
      </c>
      <c r="J10" s="60">
        <v>2024</v>
      </c>
      <c r="K10" s="60">
        <v>2025</v>
      </c>
      <c r="L10" s="60">
        <v>2026</v>
      </c>
      <c r="M10" s="60">
        <v>2027</v>
      </c>
      <c r="N10" s="60">
        <v>2028</v>
      </c>
      <c r="O10" s="60">
        <v>2029</v>
      </c>
      <c r="P10" s="60">
        <v>2030</v>
      </c>
      <c r="Q10" s="60">
        <v>2031</v>
      </c>
      <c r="R10" s="59" t="s">
        <v>45</v>
      </c>
    </row>
    <row r="11" spans="1:28" x14ac:dyDescent="0.25">
      <c r="A11" s="5"/>
      <c r="B11" s="4" t="s">
        <v>4</v>
      </c>
      <c r="C11" s="92"/>
      <c r="D11" s="92"/>
      <c r="E11" s="92">
        <v>63340</v>
      </c>
      <c r="F11" s="92">
        <v>66720</v>
      </c>
      <c r="G11" s="92">
        <v>81750</v>
      </c>
      <c r="H11" s="80">
        <v>83753.8</v>
      </c>
      <c r="I11" s="80">
        <v>84519.75</v>
      </c>
      <c r="J11" s="80">
        <v>86788.84</v>
      </c>
      <c r="K11" s="80">
        <v>88387.04</v>
      </c>
      <c r="L11" s="80">
        <f t="shared" ref="L11:R11" si="0">K11*(1+L12)</f>
        <v>90154.780799999993</v>
      </c>
      <c r="M11" s="80">
        <f t="shared" si="0"/>
        <v>91957.876415999999</v>
      </c>
      <c r="N11" s="80">
        <f t="shared" si="0"/>
        <v>93797.033944320006</v>
      </c>
      <c r="O11" s="80">
        <f t="shared" si="0"/>
        <v>95672.974623206406</v>
      </c>
      <c r="P11" s="80">
        <f t="shared" si="0"/>
        <v>97586.434115670534</v>
      </c>
      <c r="Q11" s="80">
        <f t="shared" si="0"/>
        <v>99538.16279798394</v>
      </c>
      <c r="R11" s="80">
        <f t="shared" si="0"/>
        <v>99538.16279798394</v>
      </c>
    </row>
    <row r="12" spans="1:28" x14ac:dyDescent="0.25">
      <c r="A12" s="5"/>
      <c r="B12" s="4" t="s">
        <v>1</v>
      </c>
      <c r="C12" s="98"/>
      <c r="D12" s="98"/>
      <c r="E12" s="98"/>
      <c r="F12" s="98">
        <f t="shared" ref="D12:K12" si="1">F11/E11-1</f>
        <v>5.3362803915377288E-2</v>
      </c>
      <c r="G12" s="98">
        <f t="shared" si="1"/>
        <v>0.22526978417266186</v>
      </c>
      <c r="H12" s="91">
        <f t="shared" si="1"/>
        <v>2.4511314984709598E-2</v>
      </c>
      <c r="I12" s="97">
        <f t="shared" si="1"/>
        <v>9.1452566928307277E-3</v>
      </c>
      <c r="J12" s="97">
        <f t="shared" si="1"/>
        <v>2.684686123657487E-2</v>
      </c>
      <c r="K12" s="97">
        <f t="shared" si="1"/>
        <v>1.8414810014743876E-2</v>
      </c>
      <c r="L12" s="79">
        <v>0.02</v>
      </c>
      <c r="M12" s="79">
        <v>0.02</v>
      </c>
      <c r="N12" s="79">
        <v>0.02</v>
      </c>
      <c r="O12" s="79">
        <v>0.02</v>
      </c>
      <c r="P12" s="79">
        <v>0.02</v>
      </c>
      <c r="Q12" s="79">
        <v>0.02</v>
      </c>
      <c r="R12" s="13">
        <v>0</v>
      </c>
    </row>
    <row r="13" spans="1:28" ht="15.95" customHeight="1" x14ac:dyDescent="0.25">
      <c r="A13" s="5"/>
      <c r="B13" s="4" t="s">
        <v>15</v>
      </c>
      <c r="C13" s="98"/>
      <c r="D13" s="98"/>
      <c r="E13" s="98">
        <f t="shared" ref="E13:G13" si="2">E14/E11</f>
        <v>6.5203662772339757E-2</v>
      </c>
      <c r="F13" s="98">
        <f t="shared" si="2"/>
        <v>7.2691846522781781E-2</v>
      </c>
      <c r="G13" s="98">
        <f t="shared" si="2"/>
        <v>9.7614678899082569E-2</v>
      </c>
      <c r="H13" s="79">
        <v>9.5299999999999996E-2</v>
      </c>
      <c r="I13" s="79">
        <v>9.4799999999999995E-2</v>
      </c>
      <c r="J13" s="79">
        <v>9.7100000000000006E-2</v>
      </c>
      <c r="K13" s="96">
        <v>9.98E-2</v>
      </c>
      <c r="L13" s="79">
        <v>0.1</v>
      </c>
      <c r="M13" s="79">
        <v>0.10199999999999999</v>
      </c>
      <c r="N13" s="79">
        <v>0.105</v>
      </c>
      <c r="O13" s="79">
        <v>0.105</v>
      </c>
      <c r="P13" s="79">
        <v>0.11</v>
      </c>
      <c r="Q13" s="79">
        <v>0.115</v>
      </c>
      <c r="R13" s="79">
        <v>0.115</v>
      </c>
    </row>
    <row r="14" spans="1:28" ht="17.100000000000001" customHeight="1" x14ac:dyDescent="0.25">
      <c r="A14" s="5"/>
      <c r="B14" s="4" t="s">
        <v>16</v>
      </c>
      <c r="C14" s="92"/>
      <c r="D14" s="92"/>
      <c r="E14" s="92">
        <v>4130</v>
      </c>
      <c r="F14" s="92">
        <v>4850</v>
      </c>
      <c r="G14" s="92">
        <v>7980</v>
      </c>
      <c r="H14" s="80">
        <f>H11*H13</f>
        <v>7981.7371400000002</v>
      </c>
      <c r="I14" s="80">
        <f t="shared" ref="I14:R14" si="3">I11*I13</f>
        <v>8012.4722999999994</v>
      </c>
      <c r="J14" s="80">
        <f t="shared" si="3"/>
        <v>8427.1963639999994</v>
      </c>
      <c r="K14" s="80">
        <f t="shared" si="3"/>
        <v>8821.0265920000002</v>
      </c>
      <c r="L14" s="80">
        <f t="shared" si="3"/>
        <v>9015.478079999999</v>
      </c>
      <c r="M14" s="80">
        <f t="shared" si="3"/>
        <v>9379.7033944319992</v>
      </c>
      <c r="N14" s="80">
        <f t="shared" si="3"/>
        <v>9848.688564153601</v>
      </c>
      <c r="O14" s="80">
        <f t="shared" si="3"/>
        <v>10045.662335436673</v>
      </c>
      <c r="P14" s="80">
        <f t="shared" si="3"/>
        <v>10734.507752723759</v>
      </c>
      <c r="Q14" s="80">
        <f t="shared" si="3"/>
        <v>11446.888721768153</v>
      </c>
      <c r="R14" s="80">
        <f t="shared" si="3"/>
        <v>11446.888721768153</v>
      </c>
    </row>
    <row r="15" spans="1:28" x14ac:dyDescent="0.25">
      <c r="A15" s="12">
        <v>0.3</v>
      </c>
      <c r="B15" s="4" t="s">
        <v>43</v>
      </c>
      <c r="C15" s="92"/>
      <c r="D15" s="92"/>
      <c r="E15" s="92">
        <v>2620</v>
      </c>
      <c r="F15" s="92">
        <v>2980</v>
      </c>
      <c r="G15" s="92">
        <v>5050</v>
      </c>
      <c r="H15" s="80">
        <f>H11*0.0592</f>
        <v>4958.2249600000005</v>
      </c>
      <c r="I15" s="80">
        <f>I11*0.0588</f>
        <v>4969.7613000000001</v>
      </c>
      <c r="J15" s="80">
        <f>J11*0.0602</f>
        <v>5224.6881679999997</v>
      </c>
      <c r="K15" s="80">
        <f>K11*0.0629</f>
        <v>5559.5448159999996</v>
      </c>
      <c r="L15" s="80">
        <f t="shared" ref="L15:R15" si="4">L14*(1-$A$15)</f>
        <v>6310.8346559999991</v>
      </c>
      <c r="M15" s="80">
        <f t="shared" si="4"/>
        <v>6565.7923761023994</v>
      </c>
      <c r="N15" s="80">
        <f t="shared" si="4"/>
        <v>6894.0819949075203</v>
      </c>
      <c r="O15" s="80">
        <f t="shared" si="4"/>
        <v>7031.9636348056711</v>
      </c>
      <c r="P15" s="80">
        <f t="shared" si="4"/>
        <v>7514.155426906631</v>
      </c>
      <c r="Q15" s="80">
        <f t="shared" si="4"/>
        <v>8012.8221052377066</v>
      </c>
      <c r="R15" s="80">
        <f t="shared" si="4"/>
        <v>8012.8221052377066</v>
      </c>
    </row>
    <row r="16" spans="1:28" ht="32.25" hidden="1" thickBot="1" x14ac:dyDescent="0.3">
      <c r="A16" s="14" t="s">
        <v>6</v>
      </c>
      <c r="B16" s="15"/>
      <c r="C16" s="16" t="e">
        <f t="shared" ref="C16:K16" si="5">C15/C14</f>
        <v>#DIV/0!</v>
      </c>
      <c r="D16" s="16" t="e">
        <f t="shared" si="5"/>
        <v>#DIV/0!</v>
      </c>
      <c r="E16" s="16">
        <f t="shared" si="5"/>
        <v>0.63438256658595638</v>
      </c>
      <c r="F16" s="16">
        <f t="shared" si="5"/>
        <v>0.61443298969072169</v>
      </c>
      <c r="G16" s="16">
        <f t="shared" si="5"/>
        <v>0.6328320802005013</v>
      </c>
      <c r="H16" s="16">
        <f t="shared" si="5"/>
        <v>0.62119622245540407</v>
      </c>
      <c r="I16" s="16">
        <f t="shared" si="5"/>
        <v>0.62025316455696211</v>
      </c>
      <c r="J16" s="16">
        <f t="shared" si="5"/>
        <v>0.61997940267765195</v>
      </c>
      <c r="K16" s="16">
        <f t="shared" si="5"/>
        <v>0.63026052104208408</v>
      </c>
    </row>
    <row r="17" spans="1:18" x14ac:dyDescent="0.25">
      <c r="A17" s="2" t="s">
        <v>40</v>
      </c>
      <c r="C17" s="92"/>
      <c r="D17" s="92"/>
      <c r="E17" s="92"/>
      <c r="F17" s="92"/>
      <c r="G17" s="92"/>
      <c r="H17" s="80">
        <f>H15/H18</f>
        <v>4.0570489131235243</v>
      </c>
      <c r="I17" s="80">
        <f t="shared" ref="I17:Q17" si="6">I15/I18</f>
        <v>4.086923095388177</v>
      </c>
      <c r="J17" s="80">
        <f t="shared" si="6"/>
        <v>4.3181550266194906</v>
      </c>
      <c r="K17" s="80">
        <f t="shared" si="6"/>
        <v>4.6180008623345268</v>
      </c>
      <c r="L17" s="80">
        <f t="shared" si="6"/>
        <v>5.2683970180103241</v>
      </c>
      <c r="M17" s="80">
        <f t="shared" si="6"/>
        <v>5.5087841784300924</v>
      </c>
      <c r="N17" s="80">
        <f t="shared" si="6"/>
        <v>5.8132898365342696</v>
      </c>
      <c r="O17" s="80">
        <f t="shared" si="6"/>
        <v>5.9593523952411616</v>
      </c>
      <c r="P17" s="80">
        <f t="shared" si="6"/>
        <v>6.3999936706968974</v>
      </c>
      <c r="Q17" s="80">
        <f t="shared" si="6"/>
        <v>6.8590156013955772</v>
      </c>
      <c r="R17" s="80"/>
    </row>
    <row r="18" spans="1:18" ht="32.25" thickBot="1" x14ac:dyDescent="0.3">
      <c r="A18" s="2" t="s">
        <v>42</v>
      </c>
      <c r="C18" s="92"/>
      <c r="D18" s="92"/>
      <c r="E18" s="92"/>
      <c r="F18" s="92"/>
      <c r="G18" s="92"/>
      <c r="H18" s="80">
        <v>1222.126</v>
      </c>
      <c r="I18" s="80">
        <f>H18*0.995</f>
        <v>1216.0153700000001</v>
      </c>
      <c r="J18" s="80">
        <f t="shared" ref="J18:Q18" si="7">I18*0.995</f>
        <v>1209.93529315</v>
      </c>
      <c r="K18" s="80">
        <f t="shared" si="7"/>
        <v>1203.88561668425</v>
      </c>
      <c r="L18" s="80">
        <f t="shared" si="7"/>
        <v>1197.8661886008288</v>
      </c>
      <c r="M18" s="80">
        <f t="shared" si="7"/>
        <v>1191.8768576578245</v>
      </c>
      <c r="N18" s="80">
        <f t="shared" si="7"/>
        <v>1185.9174733695354</v>
      </c>
      <c r="O18" s="80">
        <f t="shared" si="7"/>
        <v>1179.9878860026877</v>
      </c>
      <c r="P18" s="80">
        <f t="shared" si="7"/>
        <v>1174.0879465726741</v>
      </c>
      <c r="Q18" s="80">
        <f t="shared" si="7"/>
        <v>1168.2175068398108</v>
      </c>
      <c r="R18" s="80"/>
    </row>
    <row r="19" spans="1:18" ht="16.5" thickBot="1" x14ac:dyDescent="0.3">
      <c r="A19" s="2"/>
      <c r="F19" s="55" t="s">
        <v>12</v>
      </c>
      <c r="G19" s="56"/>
      <c r="H19" s="57">
        <f>H15/(1+$C$55)</f>
        <v>4610.1580288238038</v>
      </c>
      <c r="I19" s="57">
        <f>I15/(1+$C$55)^2</f>
        <v>4296.498855256581</v>
      </c>
      <c r="J19" s="57">
        <f>J15/(1+$C$55)^3</f>
        <v>4199.8050440448642</v>
      </c>
      <c r="K19" s="57">
        <f>K15/(1+$C$55)^4</f>
        <v>4155.2540032262132</v>
      </c>
      <c r="L19" s="57">
        <f>L15/(1+$C$55)^5</f>
        <v>4385.6576610627608</v>
      </c>
      <c r="M19" s="57">
        <f>M15/(1+$C$55)^6</f>
        <v>4242.5274110364444</v>
      </c>
      <c r="N19" s="57">
        <f>N15/(1+$C$55)^7</f>
        <v>4141.9375003145215</v>
      </c>
      <c r="O19" s="57">
        <f>O15/(1+$C$55)^8</f>
        <v>3928.1973503680265</v>
      </c>
      <c r="P19" s="57">
        <f>P15/(1+$C$55)^9</f>
        <v>3902.8911709839726</v>
      </c>
      <c r="Q19" s="57">
        <f>Q15/(1+$C$55)^10</f>
        <v>3869.7361426517896</v>
      </c>
      <c r="R19" s="58">
        <f>(R15/(C55-R12))/(1+C55)^10</f>
        <v>51254.783346381315</v>
      </c>
    </row>
    <row r="20" spans="1:18" x14ac:dyDescent="0.25">
      <c r="A20" s="2"/>
      <c r="C20" s="83"/>
      <c r="D20" s="94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28</v>
      </c>
      <c r="B23" s="35"/>
      <c r="C23" s="35"/>
      <c r="D23" s="36"/>
      <c r="E23" s="24"/>
      <c r="F23" s="35"/>
      <c r="G23" s="64" t="s">
        <v>29</v>
      </c>
      <c r="H23" s="24"/>
      <c r="I23" s="87">
        <v>1.4999999999999999E-2</v>
      </c>
      <c r="J23" s="25" t="s">
        <v>30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8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31</v>
      </c>
      <c r="H25" s="27"/>
      <c r="I25" s="89">
        <f>(I27-I23)*I29</f>
        <v>6.0500000000000012E-2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8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32</v>
      </c>
      <c r="H27" s="27"/>
      <c r="I27" s="90">
        <v>7.0000000000000007E-2</v>
      </c>
      <c r="J27" s="28" t="s">
        <v>33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8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39</v>
      </c>
      <c r="H29" s="27"/>
      <c r="I29" s="88">
        <v>1.1000000000000001</v>
      </c>
      <c r="J29" s="28" t="s">
        <v>34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8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35</v>
      </c>
      <c r="H31" s="27"/>
      <c r="I31" s="90">
        <f>I23+(I27-I23)*I29</f>
        <v>7.5500000000000012E-2</v>
      </c>
      <c r="J31" s="28" t="s">
        <v>36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4" t="s">
        <v>38</v>
      </c>
      <c r="H33" s="85"/>
      <c r="I33" s="86">
        <f>I31</f>
        <v>7.5500000000000012E-2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((NPV(C40,$H$15:$R$15)+(#REF!*(1+#REF!)/(C40-#REF!))/(1+C40)^(2040-2020))/$D$50)/$C$51-1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((NPV(C41,$H$15:$R$15)+(#REF!*(1+#REF!)/(C41-#REF!))/(1+C41)^(2040-2020))/$D$50)/$C$51-1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((NPV(C42,$H$15:$R$15)+(#REF!*(1+#REF!)/(C42-#REF!))/(1+C42)^(2040-2020))/$D$50)/$C$51-1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((NPV(C43,$H$15:$R$15)+(#REF!*(1+#REF!)/(C43-#REF!))/(1+C43)^(2040-2020))/$D$50)/$C$51-1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((NPV(C44,$H$15:$R$15)+(#REF!*(1+#REF!)/(C44-#REF!))/(1+C44)^(2040-2020))/$D$50)/$C$51-1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24</v>
      </c>
      <c r="C46" s="31"/>
      <c r="D46" s="47">
        <f>I33</f>
        <v>7.5500000000000012E-2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5">
        <v>44687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8">
        <f>C50*C51</f>
        <v>47638.471479999993</v>
      </c>
      <c r="D49" s="51">
        <f>SUM(H19:R19)</f>
        <v>92987.446514150302</v>
      </c>
      <c r="E49" s="49" t="s">
        <v>44</v>
      </c>
    </row>
    <row r="50" spans="1:17" x14ac:dyDescent="0.25">
      <c r="A50" s="48"/>
      <c r="B50" s="49" t="s">
        <v>11</v>
      </c>
      <c r="C50" s="50">
        <v>1222.126</v>
      </c>
      <c r="D50" s="50">
        <v>1222.1600000000001</v>
      </c>
      <c r="E50" s="49"/>
    </row>
    <row r="51" spans="1:17" x14ac:dyDescent="0.25">
      <c r="A51" s="48"/>
      <c r="B51" s="49" t="s">
        <v>13</v>
      </c>
      <c r="C51" s="49">
        <v>38.979999999999997</v>
      </c>
      <c r="D51" s="61">
        <f>D49/(D50)</f>
        <v>76.084511450342262</v>
      </c>
      <c r="E51" s="49" t="s">
        <v>44</v>
      </c>
    </row>
    <row r="52" spans="1:17" x14ac:dyDescent="0.25">
      <c r="A52" s="48"/>
      <c r="B52" s="49" t="s">
        <v>2</v>
      </c>
      <c r="C52" s="49"/>
      <c r="D52" s="62">
        <f>IF(C51/D51-1&gt;0,0,C51/D51-1)*-1</f>
        <v>0.48767496489162709</v>
      </c>
      <c r="E52" s="49"/>
    </row>
    <row r="53" spans="1:17" x14ac:dyDescent="0.25">
      <c r="A53" s="48"/>
      <c r="B53" s="49" t="s">
        <v>14</v>
      </c>
      <c r="C53" s="49"/>
      <c r="D53" s="63">
        <f>IF(C51/D51-1&lt;0,0,C51/D51-1)</f>
        <v>0</v>
      </c>
      <c r="E53" s="49"/>
    </row>
    <row r="54" spans="1:17" x14ac:dyDescent="0.25">
      <c r="A54" s="49"/>
      <c r="B54" s="49"/>
      <c r="C54" s="49"/>
      <c r="D54" s="52"/>
      <c r="E54" s="52"/>
    </row>
    <row r="55" spans="1:17" x14ac:dyDescent="0.25">
      <c r="A55" s="52" t="s">
        <v>23</v>
      </c>
      <c r="B55" s="49"/>
      <c r="C55" s="54">
        <f>D46</f>
        <v>7.5500000000000012E-2</v>
      </c>
      <c r="D55" s="53"/>
      <c r="E55" s="49"/>
      <c r="J55" s="77"/>
    </row>
    <row r="56" spans="1:17" x14ac:dyDescent="0.25">
      <c r="A56" s="52"/>
      <c r="B56" s="49"/>
      <c r="C56" s="54"/>
      <c r="D56" s="53"/>
      <c r="E56" s="49"/>
    </row>
    <row r="57" spans="1:17" hidden="1" x14ac:dyDescent="0.25">
      <c r="A57" s="52" t="s">
        <v>26</v>
      </c>
      <c r="B57" s="81">
        <v>0.108</v>
      </c>
      <c r="C57" s="54"/>
      <c r="D57" s="82">
        <f>SUM(H57:Q57)*1000</f>
        <v>59429499.078155525</v>
      </c>
      <c r="E57" s="49"/>
      <c r="F57" s="1" t="s">
        <v>27</v>
      </c>
      <c r="H57" s="1">
        <f>H15/(1+$B$57)</f>
        <v>4474.9322743682314</v>
      </c>
      <c r="I57" s="1">
        <f>I15/(1+$B$57)^2</f>
        <v>4048.1445248862874</v>
      </c>
      <c r="J57" s="1">
        <f>J15/(1+$B$57)^3</f>
        <v>3840.9715804129037</v>
      </c>
      <c r="K57" s="1">
        <f>K15/(1+$B$57)^4</f>
        <v>3688.758250672774</v>
      </c>
      <c r="L57" s="1">
        <f>L15/(1+$B$57)^5</f>
        <v>3779.0966564605446</v>
      </c>
      <c r="M57" s="1">
        <f>M15/(1+$B$57)^6</f>
        <v>3548.5308315717962</v>
      </c>
      <c r="N57" s="1">
        <f>N15/(1+$B$57)^7</f>
        <v>3362.7774125906012</v>
      </c>
      <c r="O57" s="1">
        <f>O15/(1+$B$57)^8</f>
        <v>3095.6976180888196</v>
      </c>
      <c r="P57" s="1">
        <f>P15/(1+$B$57)^9</f>
        <v>2985.5361247169117</v>
      </c>
      <c r="Q57" s="1">
        <f>(R15/(B57-R12))/(1+B57)^10</f>
        <v>26605.053804386651</v>
      </c>
    </row>
    <row r="58" spans="1:17" ht="16.5" thickBot="1" x14ac:dyDescent="0.3">
      <c r="A58" s="23"/>
      <c r="C58" s="72"/>
      <c r="D58" s="73"/>
    </row>
    <row r="59" spans="1:17" x14ac:dyDescent="0.25">
      <c r="A59" s="64" t="s">
        <v>47</v>
      </c>
      <c r="B59" s="24"/>
      <c r="C59" s="74">
        <v>13.5</v>
      </c>
      <c r="D59" s="24"/>
      <c r="E59" s="25"/>
    </row>
    <row r="60" spans="1:17" x14ac:dyDescent="0.25">
      <c r="A60" s="26" t="s">
        <v>25</v>
      </c>
      <c r="B60" s="27"/>
      <c r="C60" s="75"/>
      <c r="D60" s="27"/>
      <c r="E60" s="28"/>
    </row>
    <row r="61" spans="1:17" x14ac:dyDescent="0.25">
      <c r="A61" s="26"/>
      <c r="B61" s="27"/>
      <c r="C61" s="75"/>
      <c r="D61" s="27"/>
      <c r="E61" s="28"/>
    </row>
    <row r="62" spans="1:17" x14ac:dyDescent="0.25">
      <c r="A62" s="26" t="s">
        <v>41</v>
      </c>
      <c r="B62" s="27"/>
      <c r="C62" s="75"/>
      <c r="D62" s="27"/>
      <c r="E62" s="65">
        <f>Q17*C59</f>
        <v>92.596710618840291</v>
      </c>
    </row>
    <row r="63" spans="1:17" x14ac:dyDescent="0.25">
      <c r="A63" s="26"/>
      <c r="B63" s="27"/>
      <c r="C63" s="75"/>
      <c r="D63" s="27"/>
      <c r="E63" s="28"/>
    </row>
    <row r="64" spans="1:17" x14ac:dyDescent="0.25">
      <c r="A64" s="26" t="s">
        <v>17</v>
      </c>
      <c r="B64" s="27"/>
      <c r="C64" s="76">
        <v>0.55000000000000004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5">
        <f>SUM(H17:R17)*C64</f>
        <v>29.088928328775722</v>
      </c>
    </row>
    <row r="67" spans="1:5" x14ac:dyDescent="0.25">
      <c r="A67" s="26"/>
      <c r="B67" s="27"/>
      <c r="C67" s="27"/>
      <c r="D67" s="27"/>
      <c r="E67" s="66"/>
    </row>
    <row r="68" spans="1:5" x14ac:dyDescent="0.25">
      <c r="A68" s="67" t="s">
        <v>19</v>
      </c>
      <c r="B68" s="27"/>
      <c r="C68" s="27"/>
      <c r="D68" s="27"/>
      <c r="E68" s="68">
        <f>(E66*0.25)*-1</f>
        <v>-7.2722320821939306</v>
      </c>
    </row>
    <row r="69" spans="1:5" x14ac:dyDescent="0.25">
      <c r="A69" s="26"/>
      <c r="B69" s="27"/>
      <c r="C69" s="46"/>
      <c r="D69" s="46"/>
      <c r="E69" s="69"/>
    </row>
    <row r="70" spans="1:5" x14ac:dyDescent="0.25">
      <c r="A70" s="26" t="s">
        <v>20</v>
      </c>
      <c r="B70" s="27"/>
      <c r="C70" s="27"/>
      <c r="D70" s="27"/>
      <c r="E70" s="65">
        <f>SUM(E62:E68)</f>
        <v>114.41340686542208</v>
      </c>
    </row>
    <row r="71" spans="1:5" x14ac:dyDescent="0.25">
      <c r="A71" s="26"/>
      <c r="B71" s="27"/>
      <c r="C71" s="27"/>
      <c r="D71" s="27"/>
      <c r="E71" s="65"/>
    </row>
    <row r="72" spans="1:5" x14ac:dyDescent="0.25">
      <c r="A72" s="26" t="s">
        <v>21</v>
      </c>
      <c r="B72" s="27"/>
      <c r="C72" s="27"/>
      <c r="D72" s="27"/>
      <c r="E72" s="69">
        <f>E70/C51-1</f>
        <v>1.9351823208163696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70" t="s">
        <v>22</v>
      </c>
      <c r="B74" s="71"/>
      <c r="C74" s="71"/>
      <c r="D74" s="71"/>
      <c r="E74" s="93">
        <f>(E70/C51)^(1/10)-1</f>
        <v>0.11368791828153979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Pessimistsich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2022-05-06T18:13:07Z</dcterms:modified>
</cp:coreProperties>
</file>