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Embracer Group/"/>
    </mc:Choice>
  </mc:AlternateContent>
  <xr:revisionPtr revIDLastSave="778" documentId="13_ncr:1_{5B7E894B-7002-4BEF-A757-1B4A9DF51AA7}" xr6:coauthVersionLast="47" xr6:coauthVersionMax="47" xr10:uidLastSave="{5B9F10A5-1948-4BF5-9FC6-12FA6B027455}"/>
  <bookViews>
    <workbookView minimized="1" xWindow="36720" yWindow="2055" windowWidth="21600" windowHeight="7485" activeTab="1" xr2:uid="{00000000-000D-0000-FFFF-FFFF00000000}"/>
  </bookViews>
  <sheets>
    <sheet name="Pessimistisch" sheetId="37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32" l="1"/>
  <c r="I31" i="32" s="1"/>
  <c r="I33" i="32" s="1"/>
  <c r="I25" i="32"/>
  <c r="M15" i="32"/>
  <c r="N18" i="32"/>
  <c r="J18" i="37"/>
  <c r="K18" i="37" s="1"/>
  <c r="L18" i="37" s="1"/>
  <c r="M18" i="37" s="1"/>
  <c r="N18" i="37" s="1"/>
  <c r="O18" i="37" s="1"/>
  <c r="P18" i="37" s="1"/>
  <c r="Q18" i="37" s="1"/>
  <c r="I18" i="37"/>
  <c r="D50" i="37"/>
  <c r="C49" i="37"/>
  <c r="I33" i="37"/>
  <c r="D46" i="37" s="1"/>
  <c r="C55" i="37" s="1"/>
  <c r="H19" i="37" s="1"/>
  <c r="H16" i="37"/>
  <c r="G16" i="37"/>
  <c r="F16" i="37"/>
  <c r="E16" i="37"/>
  <c r="D16" i="37"/>
  <c r="C16" i="37"/>
  <c r="K15" i="37"/>
  <c r="K57" i="37" s="1"/>
  <c r="J15" i="37"/>
  <c r="J57" i="37" s="1"/>
  <c r="I15" i="37"/>
  <c r="I16" i="37" s="1"/>
  <c r="H15" i="37"/>
  <c r="H57" i="37" s="1"/>
  <c r="G15" i="37"/>
  <c r="F15" i="37"/>
  <c r="K14" i="37"/>
  <c r="J14" i="37"/>
  <c r="I14" i="37"/>
  <c r="H14" i="37"/>
  <c r="G14" i="37"/>
  <c r="F14" i="37"/>
  <c r="K12" i="37"/>
  <c r="J12" i="37"/>
  <c r="I12" i="37"/>
  <c r="H12" i="37"/>
  <c r="G12" i="37"/>
  <c r="L11" i="37"/>
  <c r="M11" i="37" s="1"/>
  <c r="M18" i="32"/>
  <c r="O18" i="32" s="1"/>
  <c r="P18" i="32" s="1"/>
  <c r="Q18" i="32" s="1"/>
  <c r="L18" i="32"/>
  <c r="K15" i="32"/>
  <c r="J15" i="32"/>
  <c r="I15" i="32"/>
  <c r="H15" i="32"/>
  <c r="G15" i="32"/>
  <c r="F15" i="32"/>
  <c r="G14" i="32"/>
  <c r="F14" i="32"/>
  <c r="G12" i="32"/>
  <c r="D50" i="32"/>
  <c r="L14" i="37" l="1"/>
  <c r="N11" i="37"/>
  <c r="M14" i="37"/>
  <c r="M15" i="37" s="1"/>
  <c r="J16" i="37"/>
  <c r="H18" i="37"/>
  <c r="J19" i="37"/>
  <c r="K16" i="37"/>
  <c r="K19" i="37"/>
  <c r="I19" i="37"/>
  <c r="I57" i="37"/>
  <c r="L15" i="37" l="1"/>
  <c r="L57" i="37" s="1"/>
  <c r="K17" i="37"/>
  <c r="M19" i="37"/>
  <c r="M17" i="37"/>
  <c r="M57" i="37"/>
  <c r="O11" i="37"/>
  <c r="N14" i="37"/>
  <c r="N15" i="37" s="1"/>
  <c r="I17" i="37"/>
  <c r="J17" i="37"/>
  <c r="H17" i="37"/>
  <c r="H18" i="32"/>
  <c r="I57" i="32"/>
  <c r="K12" i="32"/>
  <c r="C49" i="32"/>
  <c r="D46" i="32"/>
  <c r="C55" i="32" s="1"/>
  <c r="G16" i="32"/>
  <c r="F16" i="32"/>
  <c r="E16" i="32"/>
  <c r="D16" i="32"/>
  <c r="C16" i="32"/>
  <c r="J14" i="32"/>
  <c r="I14" i="32"/>
  <c r="H14" i="32"/>
  <c r="J12" i="32"/>
  <c r="I12" i="32"/>
  <c r="H12" i="32"/>
  <c r="L11" i="32"/>
  <c r="L19" i="37" l="1"/>
  <c r="L17" i="37"/>
  <c r="N19" i="37"/>
  <c r="N17" i="37"/>
  <c r="N57" i="37"/>
  <c r="P11" i="37"/>
  <c r="O14" i="37"/>
  <c r="O15" i="37" s="1"/>
  <c r="H17" i="32"/>
  <c r="I18" i="32"/>
  <c r="J18" i="32" s="1"/>
  <c r="I16" i="32"/>
  <c r="J16" i="32"/>
  <c r="L14" i="32"/>
  <c r="L15" i="32" s="1"/>
  <c r="M11" i="32"/>
  <c r="H19" i="32"/>
  <c r="I19" i="32"/>
  <c r="J19" i="32"/>
  <c r="H57" i="32"/>
  <c r="K14" i="32"/>
  <c r="H16" i="32"/>
  <c r="J57" i="32"/>
  <c r="Q11" i="37" l="1"/>
  <c r="P14" i="37"/>
  <c r="P15" i="37" s="1"/>
  <c r="O19" i="37"/>
  <c r="O17" i="37"/>
  <c r="O57" i="37"/>
  <c r="K18" i="32"/>
  <c r="J17" i="32"/>
  <c r="I17" i="32"/>
  <c r="K57" i="32"/>
  <c r="K19" i="32"/>
  <c r="K17" i="32"/>
  <c r="K16" i="32"/>
  <c r="M14" i="32"/>
  <c r="N11" i="32"/>
  <c r="L19" i="32"/>
  <c r="L17" i="32"/>
  <c r="L57" i="32"/>
  <c r="P19" i="37" l="1"/>
  <c r="P17" i="37"/>
  <c r="P57" i="37"/>
  <c r="Q14" i="37"/>
  <c r="Q15" i="37" s="1"/>
  <c r="R11" i="37"/>
  <c r="R14" i="37" s="1"/>
  <c r="R15" i="37" s="1"/>
  <c r="M19" i="32"/>
  <c r="M17" i="32"/>
  <c r="M57" i="32"/>
  <c r="N14" i="32"/>
  <c r="N15" i="32" s="1"/>
  <c r="O11" i="32"/>
  <c r="Q17" i="37" l="1"/>
  <c r="E62" i="37" s="1"/>
  <c r="Q19" i="37"/>
  <c r="D40" i="37"/>
  <c r="D43" i="37"/>
  <c r="D41" i="37"/>
  <c r="Q57" i="37"/>
  <c r="D57" i="37" s="1"/>
  <c r="R19" i="37"/>
  <c r="D49" i="37" s="1"/>
  <c r="D51" i="37" s="1"/>
  <c r="D44" i="37"/>
  <c r="D42" i="37"/>
  <c r="O14" i="32"/>
  <c r="O15" i="32" s="1"/>
  <c r="P11" i="32"/>
  <c r="N19" i="32"/>
  <c r="N17" i="32"/>
  <c r="N57" i="32"/>
  <c r="D52" i="37" l="1"/>
  <c r="D53" i="37"/>
  <c r="E66" i="37"/>
  <c r="E68" i="37" s="1"/>
  <c r="Q11" i="32"/>
  <c r="P14" i="32"/>
  <c r="P15" i="32" s="1"/>
  <c r="O17" i="32"/>
  <c r="O57" i="32"/>
  <c r="O19" i="32"/>
  <c r="E70" i="37" l="1"/>
  <c r="P17" i="32"/>
  <c r="P19" i="32"/>
  <c r="P57" i="32"/>
  <c r="Q14" i="32"/>
  <c r="R11" i="32"/>
  <c r="R14" i="32" s="1"/>
  <c r="R15" i="32" s="1"/>
  <c r="E74" i="37" l="1"/>
  <c r="E72" i="37"/>
  <c r="Q15" i="32"/>
  <c r="D43" i="32" s="1"/>
  <c r="Q57" i="32"/>
  <c r="D57" i="32" s="1"/>
  <c r="R19" i="32"/>
  <c r="D44" i="32"/>
  <c r="D40" i="32"/>
  <c r="D42" i="32"/>
  <c r="D41" i="32"/>
  <c r="Q19" i="32" l="1"/>
  <c r="Q17" i="32"/>
  <c r="E62" i="32" s="1"/>
  <c r="D49" i="32"/>
  <c r="D51" i="32" s="1"/>
  <c r="E66" i="32" l="1"/>
  <c r="E68" i="32" s="1"/>
  <c r="D53" i="32"/>
  <c r="D52" i="32"/>
  <c r="E70" i="32" l="1"/>
  <c r="E74" i="32" s="1"/>
  <c r="E72" i="32" l="1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<sst xmlns="http://schemas.openxmlformats.org/spreadsheetml/2006/main" count="98" uniqueCount="48">
  <si>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</si>
  <si>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</si>
  <si>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</si>
  <si>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</si>
  <si>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</si>
  <si>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</si>
  <si>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</si>
  <si>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</si>
  <si>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</si>
  <si>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</si>
  <si>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</si>
  <si>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</si>
  <si>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</si>
  <si>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</si>
  <si>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</si>
  <si>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</si>
  <si>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</si>
  <si>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</si>
  <si>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</si>
  <si>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</si>
  <si>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</si>
  <si>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</si>
  <si>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</si>
  <si>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</si>
  <si>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</si>
  <si>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</si>
  <si>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</si>
  <si>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</si>
  <si>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</si>
  <si>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</si>
  <si>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</si>
  <si>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</si>
  <si>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</si>
  <si>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</si>
  <si>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</si>
  <si>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</si>
  <si>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</si>
  <si>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</si>
  <si>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</si>
  <si>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</si>
  <si>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</si>
  <si>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</si>
  <si>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</si>
  <si>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2032ff.</t>
  </si>
  <si>
    <t>KGV Multiple in 2031</t>
  </si>
  <si>
    <t>Quellensteuer Frankreich (35 %)</t>
  </si>
  <si>
    <t xml:space="preserve"> Annahmen für Embracer Group</t>
  </si>
  <si>
    <t>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</si>
</sst>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9" fontId="3" fillId="6" borderId="0" xfId="1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0" fontId="5" fillId="7" borderId="0" xfId="0" applyFont="1" applyFill="1"/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9" fillId="7" borderId="0" xfId="1" applyFont="1" applyFill="1"/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2" borderId="0" xfId="0" applyNumberFormat="1" applyFill="1" applyBorder="1" applyAlignment="1">
      <alignment horizontal="right"/>
    </xf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3E21EF4-BCFA-45B6-849E-6A189C2A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3F85-084C-4082-AE05-CFCE155FD853}">
  <dimension ref="A2:AB74"/>
  <sheetViews>
    <sheetView topLeftCell="A13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46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0">
        <v>2022</v>
      </c>
      <c r="I10" s="60">
        <v>2023</v>
      </c>
      <c r="J10" s="60">
        <v>2024</v>
      </c>
      <c r="K10" s="60">
        <v>2025</v>
      </c>
      <c r="L10" s="60">
        <v>2026</v>
      </c>
      <c r="M10" s="60">
        <v>2027</v>
      </c>
      <c r="N10" s="60">
        <v>2028</v>
      </c>
      <c r="O10" s="60">
        <v>2029</v>
      </c>
      <c r="P10" s="60">
        <v>2030</v>
      </c>
      <c r="Q10" s="60">
        <v>2031</v>
      </c>
      <c r="R10" s="59" t="s">
        <v>43</v>
      </c>
    </row>
    <row r="11" spans="1:28" x14ac:dyDescent="0.25">
      <c r="A11" s="5"/>
      <c r="B11" s="4" t="s">
        <v>4</v>
      </c>
      <c r="C11" s="92"/>
      <c r="D11" s="92"/>
      <c r="E11" s="92"/>
      <c r="F11" s="92">
        <v>925.93</v>
      </c>
      <c r="G11" s="92">
        <v>1142.3800000000001</v>
      </c>
      <c r="H11" s="80">
        <v>16625.060000000001</v>
      </c>
      <c r="I11" s="80">
        <v>29500</v>
      </c>
      <c r="J11" s="80">
        <v>34000</v>
      </c>
      <c r="K11" s="80">
        <v>38000</v>
      </c>
      <c r="L11" s="80">
        <f t="shared" ref="L11:R11" si="0">K11*(1+L12)</f>
        <v>39900</v>
      </c>
      <c r="M11" s="80">
        <f t="shared" si="0"/>
        <v>41895</v>
      </c>
      <c r="N11" s="80">
        <f t="shared" si="0"/>
        <v>43989.75</v>
      </c>
      <c r="O11" s="80">
        <f t="shared" si="0"/>
        <v>45749.340000000004</v>
      </c>
      <c r="P11" s="80">
        <f t="shared" si="0"/>
        <v>47579.313600000009</v>
      </c>
      <c r="Q11" s="80">
        <f t="shared" si="0"/>
        <v>49006.693008000009</v>
      </c>
      <c r="R11" s="80">
        <f t="shared" si="0"/>
        <v>49741.793403120006</v>
      </c>
    </row>
    <row r="12" spans="1:28" x14ac:dyDescent="0.25">
      <c r="A12" s="5"/>
      <c r="B12" s="4" t="s">
        <v>1</v>
      </c>
      <c r="C12" s="98"/>
      <c r="D12" s="98"/>
      <c r="E12" s="98"/>
      <c r="F12" s="98"/>
      <c r="G12" s="98">
        <f t="shared" ref="G12:K12" si="1">G11/F11-1</f>
        <v>0.23376497143412589</v>
      </c>
      <c r="H12" s="91">
        <f t="shared" si="1"/>
        <v>13.553003378910695</v>
      </c>
      <c r="I12" s="97">
        <f t="shared" si="1"/>
        <v>0.77442968626880138</v>
      </c>
      <c r="J12" s="97">
        <f t="shared" si="1"/>
        <v>0.15254237288135597</v>
      </c>
      <c r="K12" s="97">
        <f t="shared" si="1"/>
        <v>0.11764705882352944</v>
      </c>
      <c r="L12" s="79">
        <v>0.05</v>
      </c>
      <c r="M12" s="79">
        <v>0.05</v>
      </c>
      <c r="N12" s="79">
        <v>0.05</v>
      </c>
      <c r="O12" s="79">
        <v>0.04</v>
      </c>
      <c r="P12" s="79">
        <v>0.04</v>
      </c>
      <c r="Q12" s="79">
        <v>0.03</v>
      </c>
      <c r="R12" s="13">
        <v>1.4999999999999999E-2</v>
      </c>
    </row>
    <row r="13" spans="1:28" ht="15.95" customHeight="1" x14ac:dyDescent="0.25">
      <c r="A13" s="5"/>
      <c r="B13" s="4" t="s">
        <v>15</v>
      </c>
      <c r="C13" s="98"/>
      <c r="D13" s="98"/>
      <c r="E13" s="98"/>
      <c r="F13" s="98">
        <v>0.1804</v>
      </c>
      <c r="G13" s="98">
        <v>0.1739</v>
      </c>
      <c r="H13" s="79">
        <v>0.27460000000000001</v>
      </c>
      <c r="I13" s="79">
        <v>0.2722</v>
      </c>
      <c r="J13" s="79">
        <v>0.2848</v>
      </c>
      <c r="K13" s="96">
        <v>0.29310000000000003</v>
      </c>
      <c r="L13" s="79">
        <v>0.28000000000000003</v>
      </c>
      <c r="M13" s="79">
        <v>0.27</v>
      </c>
      <c r="N13" s="79">
        <v>0.27</v>
      </c>
      <c r="O13" s="79">
        <v>0.27</v>
      </c>
      <c r="P13" s="79">
        <v>0.27</v>
      </c>
      <c r="Q13" s="79">
        <v>0.27</v>
      </c>
      <c r="R13" s="79">
        <v>0.27</v>
      </c>
    </row>
    <row r="14" spans="1:28" ht="17.100000000000001" customHeight="1" x14ac:dyDescent="0.25">
      <c r="A14" s="5"/>
      <c r="B14" s="4" t="s">
        <v>16</v>
      </c>
      <c r="C14" s="92"/>
      <c r="D14" s="92"/>
      <c r="E14" s="92"/>
      <c r="F14" s="92">
        <f t="shared" ref="F14:G14" si="2">F11*F13</f>
        <v>167.03777199999999</v>
      </c>
      <c r="G14" s="92">
        <f t="shared" si="2"/>
        <v>198.65988200000001</v>
      </c>
      <c r="H14" s="80">
        <f>H11*H13</f>
        <v>4565.2414760000001</v>
      </c>
      <c r="I14" s="80">
        <f t="shared" ref="I14:R14" si="3">I11*I13</f>
        <v>8029.9</v>
      </c>
      <c r="J14" s="80">
        <f t="shared" si="3"/>
        <v>9683.2000000000007</v>
      </c>
      <c r="K14" s="80">
        <f t="shared" si="3"/>
        <v>11137.800000000001</v>
      </c>
      <c r="L14" s="80">
        <f t="shared" si="3"/>
        <v>11172.000000000002</v>
      </c>
      <c r="M14" s="80">
        <f t="shared" si="3"/>
        <v>11311.650000000001</v>
      </c>
      <c r="N14" s="80">
        <f t="shared" si="3"/>
        <v>11877.2325</v>
      </c>
      <c r="O14" s="80">
        <f t="shared" si="3"/>
        <v>12352.321800000002</v>
      </c>
      <c r="P14" s="80">
        <f t="shared" si="3"/>
        <v>12846.414672000003</v>
      </c>
      <c r="Q14" s="80">
        <f t="shared" si="3"/>
        <v>13231.807112160004</v>
      </c>
      <c r="R14" s="80">
        <f t="shared" si="3"/>
        <v>13430.284218842402</v>
      </c>
    </row>
    <row r="15" spans="1:28" x14ac:dyDescent="0.25">
      <c r="A15" s="12">
        <v>0.23</v>
      </c>
      <c r="B15" s="4" t="s">
        <v>42</v>
      </c>
      <c r="C15" s="92"/>
      <c r="D15" s="92"/>
      <c r="E15" s="92"/>
      <c r="F15" s="92">
        <f>F11*0.1545</f>
        <v>143.056185</v>
      </c>
      <c r="G15" s="92">
        <f>G11*15.88</f>
        <v>18140.994400000003</v>
      </c>
      <c r="H15" s="80">
        <f>H11*-0.249</f>
        <v>-4139.63994</v>
      </c>
      <c r="I15" s="80">
        <f>I11*-0.1392</f>
        <v>-4106.3999999999996</v>
      </c>
      <c r="J15" s="80">
        <f>J11*-0.102</f>
        <v>-3468</v>
      </c>
      <c r="K15" s="80">
        <f>K11*-0.0843</f>
        <v>-3203.4</v>
      </c>
      <c r="L15" s="80">
        <f>L14*-0.25</f>
        <v>-2793.0000000000005</v>
      </c>
      <c r="M15" s="80">
        <f t="shared" ref="M15:R15" si="4">M14*(1-$A$15)</f>
        <v>8709.9705000000013</v>
      </c>
      <c r="N15" s="80">
        <f t="shared" si="4"/>
        <v>9145.4690250000003</v>
      </c>
      <c r="O15" s="80">
        <f t="shared" si="4"/>
        <v>9511.2877860000008</v>
      </c>
      <c r="P15" s="80">
        <f t="shared" si="4"/>
        <v>9891.7392974400027</v>
      </c>
      <c r="Q15" s="80">
        <f t="shared" si="4"/>
        <v>10188.491476363204</v>
      </c>
      <c r="R15" s="80">
        <f t="shared" si="4"/>
        <v>10341.31884850865</v>
      </c>
    </row>
    <row r="16" spans="1:28" ht="32.25" hidden="1" thickBot="1" x14ac:dyDescent="0.3">
      <c r="A16" s="14" t="s">
        <v>6</v>
      </c>
      <c r="B16" s="15"/>
      <c r="C16" s="16" t="e">
        <f t="shared" ref="C16:K16" si="5">C15/C14</f>
        <v>#DIV/0!</v>
      </c>
      <c r="D16" s="16" t="e">
        <f t="shared" si="5"/>
        <v>#DIV/0!</v>
      </c>
      <c r="E16" s="16" t="e">
        <f t="shared" si="5"/>
        <v>#DIV/0!</v>
      </c>
      <c r="F16" s="16">
        <f t="shared" si="5"/>
        <v>0.85643015521064303</v>
      </c>
      <c r="G16" s="16">
        <f t="shared" si="5"/>
        <v>91.316848763657291</v>
      </c>
      <c r="H16" s="16">
        <f t="shared" si="5"/>
        <v>-0.90677348871085217</v>
      </c>
      <c r="I16" s="16">
        <f t="shared" si="5"/>
        <v>-0.51138868479059518</v>
      </c>
      <c r="J16" s="16">
        <f t="shared" si="5"/>
        <v>-0.3581460674157303</v>
      </c>
      <c r="K16" s="16">
        <f t="shared" si="5"/>
        <v>-0.28761514841351071</v>
      </c>
    </row>
    <row r="17" spans="1:18" x14ac:dyDescent="0.25">
      <c r="A17" s="2" t="s">
        <v>39</v>
      </c>
      <c r="C17" s="92"/>
      <c r="D17" s="92"/>
      <c r="E17" s="92"/>
      <c r="F17" s="92"/>
      <c r="G17" s="92"/>
      <c r="H17" s="80">
        <f>H15/H18</f>
        <v>-3.6586645773344575</v>
      </c>
      <c r="I17" s="80">
        <f t="shared" ref="I17:Q17" si="6">I15/I18</f>
        <v>-3.4400821900174434</v>
      </c>
      <c r="J17" s="80">
        <f t="shared" si="6"/>
        <v>-2.7538114207069433</v>
      </c>
      <c r="K17" s="80">
        <f t="shared" si="6"/>
        <v>-2.4110922079985522</v>
      </c>
      <c r="L17" s="80">
        <f t="shared" si="6"/>
        <v>-1.9926045806602868</v>
      </c>
      <c r="M17" s="80">
        <f t="shared" si="6"/>
        <v>5.889988042454128</v>
      </c>
      <c r="N17" s="80">
        <f t="shared" si="6"/>
        <v>5.8620734071818328</v>
      </c>
      <c r="O17" s="80">
        <f t="shared" si="6"/>
        <v>5.7787263919138452</v>
      </c>
      <c r="P17" s="80">
        <f t="shared" si="6"/>
        <v>5.6965644052989575</v>
      </c>
      <c r="Q17" s="80">
        <f t="shared" si="6"/>
        <v>5.5615747274482725</v>
      </c>
      <c r="R17" s="80"/>
    </row>
    <row r="18" spans="1:18" ht="32.25" thickBot="1" x14ac:dyDescent="0.3">
      <c r="A18" s="2" t="s">
        <v>41</v>
      </c>
      <c r="C18" s="92"/>
      <c r="D18" s="92"/>
      <c r="E18" s="92"/>
      <c r="F18" s="92"/>
      <c r="G18" s="92"/>
      <c r="H18" s="80">
        <f>D50</f>
        <v>1131.462</v>
      </c>
      <c r="I18" s="80">
        <f>H18*1.055</f>
        <v>1193.6924099999999</v>
      </c>
      <c r="J18" s="80">
        <f t="shared" ref="J18:Q18" si="7">I18*1.055</f>
        <v>1259.3454925499998</v>
      </c>
      <c r="K18" s="80">
        <f t="shared" si="7"/>
        <v>1328.6094946402497</v>
      </c>
      <c r="L18" s="80">
        <f t="shared" si="7"/>
        <v>1401.6830168454635</v>
      </c>
      <c r="M18" s="80">
        <f t="shared" si="7"/>
        <v>1478.7755827719639</v>
      </c>
      <c r="N18" s="80">
        <f t="shared" si="7"/>
        <v>1560.1082398244218</v>
      </c>
      <c r="O18" s="80">
        <f t="shared" si="7"/>
        <v>1645.914193014765</v>
      </c>
      <c r="P18" s="80">
        <f t="shared" si="7"/>
        <v>1736.4394736305769</v>
      </c>
      <c r="Q18" s="80">
        <f t="shared" si="7"/>
        <v>1831.9436446802586</v>
      </c>
      <c r="R18" s="80"/>
    </row>
    <row r="19" spans="1:18" ht="16.5" thickBot="1" x14ac:dyDescent="0.3">
      <c r="A19" s="2"/>
      <c r="F19" s="55" t="s">
        <v>12</v>
      </c>
      <c r="G19" s="56"/>
      <c r="H19" s="57">
        <f>H15/(1+$C$55)</f>
        <v>-3743.8437715470618</v>
      </c>
      <c r="I19" s="57">
        <f>I15/(1+$C$55)^2</f>
        <v>-3358.7025927693708</v>
      </c>
      <c r="J19" s="57">
        <f>J15/(1+$C$55)^3</f>
        <v>-2565.3376566427792</v>
      </c>
      <c r="K19" s="57">
        <f>K15/(1+$C$55)^4</f>
        <v>-2143.0473551165223</v>
      </c>
      <c r="L19" s="57">
        <f>L15/(1+$C$55)^5</f>
        <v>-1689.8442620551652</v>
      </c>
      <c r="M19" s="57">
        <f>M15/(1+$C$55)^6</f>
        <v>4765.9291176449078</v>
      </c>
      <c r="N19" s="57">
        <f>N15/(1+$C$55)^7</f>
        <v>4525.7652879023462</v>
      </c>
      <c r="O19" s="57">
        <f>O15/(1+$C$55)^8</f>
        <v>4256.7732381046117</v>
      </c>
      <c r="P19" s="57">
        <f>P15/(1+$C$55)^9</f>
        <v>4003.7689203812297</v>
      </c>
      <c r="Q19" s="57">
        <f>Q15/(1+$C$55)^10</f>
        <v>3729.5924571018277</v>
      </c>
      <c r="R19" s="58">
        <f>(R15/(C55-R12))/(1+C55)^10</f>
        <v>41728.061358106708</v>
      </c>
    </row>
    <row r="20" spans="1:18" x14ac:dyDescent="0.25">
      <c r="A20" s="2"/>
      <c r="C20" s="83"/>
      <c r="D20" s="9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4" t="s">
        <v>28</v>
      </c>
      <c r="H23" s="24"/>
      <c r="I23" s="87">
        <v>1.4999999999999999E-2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8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9">
        <v>9.0719200000000014E-2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8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90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8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99">
        <v>1.64944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8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90">
        <v>0.10571920000000001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4" t="s">
        <v>37</v>
      </c>
      <c r="H33" s="85"/>
      <c r="I33" s="86">
        <f>I31</f>
        <v>0.10571920000000001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0.10571920000000001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5">
        <v>44708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8">
        <f>C50*C51</f>
        <v>98629.542539999995</v>
      </c>
      <c r="D49" s="51">
        <f>SUM(H19:R19)</f>
        <v>49509.11474111073</v>
      </c>
      <c r="E49" s="49" t="s">
        <v>47</v>
      </c>
    </row>
    <row r="50" spans="1:17" x14ac:dyDescent="0.25">
      <c r="A50" s="48"/>
      <c r="B50" s="49" t="s">
        <v>11</v>
      </c>
      <c r="C50" s="50">
        <v>1131.462</v>
      </c>
      <c r="D50" s="50">
        <f>C50</f>
        <v>1131.462</v>
      </c>
      <c r="E50" s="49"/>
    </row>
    <row r="51" spans="1:17" x14ac:dyDescent="0.25">
      <c r="A51" s="48"/>
      <c r="B51" s="49" t="s">
        <v>13</v>
      </c>
      <c r="C51" s="49">
        <v>87.17</v>
      </c>
      <c r="D51" s="61">
        <f>D49/(D50)</f>
        <v>43.756763144595865</v>
      </c>
      <c r="E51" s="49" t="s">
        <v>47</v>
      </c>
    </row>
    <row r="52" spans="1:17" x14ac:dyDescent="0.25">
      <c r="A52" s="48"/>
      <c r="B52" s="49" t="s">
        <v>2</v>
      </c>
      <c r="C52" s="49"/>
      <c r="D52" s="62">
        <f>IF(C51/D51-1&gt;0,0,C51/D51-1)*-1</f>
        <v>0</v>
      </c>
      <c r="E52" s="49"/>
    </row>
    <row r="53" spans="1:17" x14ac:dyDescent="0.25">
      <c r="A53" s="48"/>
      <c r="B53" s="49" t="s">
        <v>14</v>
      </c>
      <c r="C53" s="49"/>
      <c r="D53" s="63">
        <f>IF(C51/D51-1&lt;0,0,C51/D51-1)</f>
        <v>0.99214918416025122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22</v>
      </c>
      <c r="B55" s="49"/>
      <c r="C55" s="54">
        <f>D46</f>
        <v>0.10571920000000001</v>
      </c>
      <c r="D55" s="53"/>
      <c r="E55" s="49"/>
      <c r="J55" s="77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25</v>
      </c>
      <c r="B57" s="81">
        <v>0.108</v>
      </c>
      <c r="C57" s="54"/>
      <c r="D57" s="82">
        <f>SUM(H57:Q57)*1000</f>
        <v>43731676.511501007</v>
      </c>
      <c r="E57" s="49"/>
      <c r="F57" s="1" t="s">
        <v>26</v>
      </c>
      <c r="H57" s="1">
        <f>H15/(1+$B$57)</f>
        <v>-3736.1371299638986</v>
      </c>
      <c r="I57" s="1">
        <f>I15/(1+$B$57)^2</f>
        <v>-3344.889155338919</v>
      </c>
      <c r="J57" s="1">
        <f>J15/(1+$B$57)^3</f>
        <v>-2549.5281273353025</v>
      </c>
      <c r="K57" s="1">
        <f>K15/(1+$B$57)^4</f>
        <v>-2125.4560528404895</v>
      </c>
      <c r="L57" s="1">
        <f>L15/(1+$B$57)^5</f>
        <v>-1672.5231347107415</v>
      </c>
      <c r="M57" s="1">
        <f>M15/(1+$B$57)^6</f>
        <v>4707.3676855554577</v>
      </c>
      <c r="N57" s="1">
        <f>N15/(1+$B$57)^7</f>
        <v>4460.9531316184384</v>
      </c>
      <c r="O57" s="1">
        <f>O15/(1+$B$57)^8</f>
        <v>4187.1762246238031</v>
      </c>
      <c r="P57" s="1">
        <f>P15/(1+$B$57)^9</f>
        <v>3930.2015104772163</v>
      </c>
      <c r="Q57" s="1">
        <f>(R15/(B57-R12))/(1+B57)^10</f>
        <v>39874.511559415441</v>
      </c>
    </row>
    <row r="58" spans="1:17" ht="16.5" thickBot="1" x14ac:dyDescent="0.3">
      <c r="A58" s="23"/>
      <c r="C58" s="72"/>
      <c r="D58" s="73"/>
    </row>
    <row r="59" spans="1:17" x14ac:dyDescent="0.25">
      <c r="A59" s="64" t="s">
        <v>44</v>
      </c>
      <c r="B59" s="24"/>
      <c r="C59" s="74">
        <v>25</v>
      </c>
      <c r="D59" s="24"/>
      <c r="E59" s="25"/>
    </row>
    <row r="60" spans="1:17" x14ac:dyDescent="0.25">
      <c r="A60" s="26" t="s">
        <v>24</v>
      </c>
      <c r="B60" s="27"/>
      <c r="C60" s="75"/>
      <c r="D60" s="27"/>
      <c r="E60" s="28"/>
    </row>
    <row r="61" spans="1:17" x14ac:dyDescent="0.25">
      <c r="A61" s="26"/>
      <c r="B61" s="27"/>
      <c r="C61" s="75"/>
      <c r="D61" s="27"/>
      <c r="E61" s="28"/>
    </row>
    <row r="62" spans="1:17" x14ac:dyDescent="0.25">
      <c r="A62" s="26" t="s">
        <v>40</v>
      </c>
      <c r="B62" s="27"/>
      <c r="C62" s="75"/>
      <c r="D62" s="27"/>
      <c r="E62" s="65">
        <f>Q17*C59</f>
        <v>139.03936818620681</v>
      </c>
    </row>
    <row r="63" spans="1:17" x14ac:dyDescent="0.25">
      <c r="A63" s="26"/>
      <c r="B63" s="27"/>
      <c r="C63" s="75"/>
      <c r="D63" s="27"/>
      <c r="E63" s="28"/>
    </row>
    <row r="64" spans="1:17" x14ac:dyDescent="0.25">
      <c r="A64" s="26" t="s">
        <v>17</v>
      </c>
      <c r="B64" s="27"/>
      <c r="C64" s="76">
        <v>0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5">
        <f>SUM(H17:R17)*C64</f>
        <v>0</v>
      </c>
    </row>
    <row r="67" spans="1:5" x14ac:dyDescent="0.25">
      <c r="A67" s="26"/>
      <c r="B67" s="27"/>
      <c r="C67" s="27"/>
      <c r="D67" s="27"/>
      <c r="E67" s="66"/>
    </row>
    <row r="68" spans="1:5" x14ac:dyDescent="0.25">
      <c r="A68" s="67" t="s">
        <v>45</v>
      </c>
      <c r="B68" s="27"/>
      <c r="C68" s="27"/>
      <c r="D68" s="27"/>
      <c r="E68" s="68">
        <f>(E66*0.35)*-1</f>
        <v>0</v>
      </c>
    </row>
    <row r="69" spans="1:5" x14ac:dyDescent="0.25">
      <c r="A69" s="26"/>
      <c r="B69" s="27"/>
      <c r="C69" s="46"/>
      <c r="D69" s="46"/>
      <c r="E69" s="69"/>
    </row>
    <row r="70" spans="1:5" x14ac:dyDescent="0.25">
      <c r="A70" s="26" t="s">
        <v>19</v>
      </c>
      <c r="B70" s="27"/>
      <c r="C70" s="27"/>
      <c r="D70" s="27"/>
      <c r="E70" s="65">
        <f>SUM(E62:E68)</f>
        <v>139.03936818620681</v>
      </c>
    </row>
    <row r="71" spans="1:5" x14ac:dyDescent="0.25">
      <c r="A71" s="26"/>
      <c r="B71" s="27"/>
      <c r="C71" s="27"/>
      <c r="D71" s="27"/>
      <c r="E71" s="65"/>
    </row>
    <row r="72" spans="1:5" x14ac:dyDescent="0.25">
      <c r="A72" s="26" t="s">
        <v>20</v>
      </c>
      <c r="B72" s="27"/>
      <c r="C72" s="27"/>
      <c r="D72" s="27"/>
      <c r="E72" s="69">
        <f>E70/C51-1</f>
        <v>0.59503691850644502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0" t="s">
        <v>21</v>
      </c>
      <c r="B74" s="71"/>
      <c r="C74" s="71"/>
      <c r="D74" s="71"/>
      <c r="E74" s="93">
        <f>(E70/C51)^(1/10)-1</f>
        <v>4.7796814949356614E-2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topLeftCell="A26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46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0">
        <v>2022</v>
      </c>
      <c r="I10" s="60">
        <v>2023</v>
      </c>
      <c r="J10" s="60">
        <v>2024</v>
      </c>
      <c r="K10" s="60">
        <v>2025</v>
      </c>
      <c r="L10" s="60">
        <v>2026</v>
      </c>
      <c r="M10" s="60">
        <v>2027</v>
      </c>
      <c r="N10" s="60">
        <v>2028</v>
      </c>
      <c r="O10" s="60">
        <v>2029</v>
      </c>
      <c r="P10" s="60">
        <v>2030</v>
      </c>
      <c r="Q10" s="60">
        <v>2031</v>
      </c>
      <c r="R10" s="59" t="s">
        <v>43</v>
      </c>
    </row>
    <row r="11" spans="1:28" x14ac:dyDescent="0.25">
      <c r="A11" s="5"/>
      <c r="B11" s="4" t="s">
        <v>4</v>
      </c>
      <c r="C11" s="92"/>
      <c r="D11" s="92"/>
      <c r="E11" s="92"/>
      <c r="F11" s="92">
        <v>925.93</v>
      </c>
      <c r="G11" s="92">
        <v>1142.3800000000001</v>
      </c>
      <c r="H11" s="80">
        <v>16625.060000000001</v>
      </c>
      <c r="I11" s="80">
        <v>37387.89</v>
      </c>
      <c r="J11" s="80">
        <v>41627.35</v>
      </c>
      <c r="K11" s="80">
        <v>45362.69</v>
      </c>
      <c r="L11" s="80">
        <f t="shared" ref="L11:R11" si="0">K11*(1+L12)</f>
        <v>49445.332100000007</v>
      </c>
      <c r="M11" s="80">
        <f t="shared" si="0"/>
        <v>53400.958668000014</v>
      </c>
      <c r="N11" s="80">
        <f t="shared" si="0"/>
        <v>57673.035361440016</v>
      </c>
      <c r="O11" s="80">
        <f t="shared" si="0"/>
        <v>61710.14783674082</v>
      </c>
      <c r="P11" s="80">
        <f t="shared" si="0"/>
        <v>66029.858185312682</v>
      </c>
      <c r="Q11" s="80">
        <f t="shared" si="0"/>
        <v>70651.948258284567</v>
      </c>
      <c r="R11" s="80">
        <f t="shared" si="0"/>
        <v>72064.987223450255</v>
      </c>
    </row>
    <row r="12" spans="1:28" x14ac:dyDescent="0.25">
      <c r="A12" s="5"/>
      <c r="B12" s="4" t="s">
        <v>1</v>
      </c>
      <c r="C12" s="98"/>
      <c r="D12" s="98"/>
      <c r="E12" s="98"/>
      <c r="F12" s="98"/>
      <c r="G12" s="98">
        <f t="shared" ref="G12" si="1">G11/F11-1</f>
        <v>0.23376497143412589</v>
      </c>
      <c r="H12" s="91">
        <f t="shared" ref="H12:K12" si="2">H11/G11-1</f>
        <v>13.553003378910695</v>
      </c>
      <c r="I12" s="97">
        <f t="shared" si="2"/>
        <v>1.2488875228119474</v>
      </c>
      <c r="J12" s="97">
        <f t="shared" si="2"/>
        <v>0.11339126118109366</v>
      </c>
      <c r="K12" s="97">
        <f t="shared" si="2"/>
        <v>8.9732831900181109E-2</v>
      </c>
      <c r="L12" s="79">
        <v>0.09</v>
      </c>
      <c r="M12" s="79">
        <v>0.08</v>
      </c>
      <c r="N12" s="79">
        <v>0.08</v>
      </c>
      <c r="O12" s="79">
        <v>7.0000000000000007E-2</v>
      </c>
      <c r="P12" s="79">
        <v>7.0000000000000007E-2</v>
      </c>
      <c r="Q12" s="79">
        <v>7.0000000000000007E-2</v>
      </c>
      <c r="R12" s="13">
        <v>0.02</v>
      </c>
    </row>
    <row r="13" spans="1:28" ht="15.95" customHeight="1" x14ac:dyDescent="0.25">
      <c r="A13" s="5"/>
      <c r="B13" s="4" t="s">
        <v>15</v>
      </c>
      <c r="C13" s="98"/>
      <c r="D13" s="98"/>
      <c r="E13" s="98"/>
      <c r="F13" s="98">
        <v>0.1804</v>
      </c>
      <c r="G13" s="98">
        <v>0.1739</v>
      </c>
      <c r="H13" s="79">
        <v>0.27460000000000001</v>
      </c>
      <c r="I13" s="79">
        <v>0.2722</v>
      </c>
      <c r="J13" s="79">
        <v>0.2848</v>
      </c>
      <c r="K13" s="96">
        <v>0.29310000000000003</v>
      </c>
      <c r="L13" s="79">
        <v>0.32500000000000001</v>
      </c>
      <c r="M13" s="79">
        <v>0.33</v>
      </c>
      <c r="N13" s="79">
        <v>0.33500000000000002</v>
      </c>
      <c r="O13" s="79">
        <v>0.35</v>
      </c>
      <c r="P13" s="79">
        <v>0.36</v>
      </c>
      <c r="Q13" s="79">
        <v>0.37</v>
      </c>
      <c r="R13" s="79">
        <v>0.38</v>
      </c>
    </row>
    <row r="14" spans="1:28" ht="17.100000000000001" customHeight="1" x14ac:dyDescent="0.25">
      <c r="A14" s="5"/>
      <c r="B14" s="4" t="s">
        <v>16</v>
      </c>
      <c r="C14" s="92"/>
      <c r="D14" s="92"/>
      <c r="E14" s="92"/>
      <c r="F14" s="92">
        <f t="shared" ref="F14:G14" si="3">F11*F13</f>
        <v>167.03777199999999</v>
      </c>
      <c r="G14" s="92">
        <f t="shared" si="3"/>
        <v>198.65988200000001</v>
      </c>
      <c r="H14" s="80">
        <f>H11*H13</f>
        <v>4565.2414760000001</v>
      </c>
      <c r="I14" s="80">
        <f t="shared" ref="I14:R14" si="4">I11*I13</f>
        <v>10176.983657999999</v>
      </c>
      <c r="J14" s="80">
        <f t="shared" si="4"/>
        <v>11855.469279999999</v>
      </c>
      <c r="K14" s="80">
        <f t="shared" si="4"/>
        <v>13295.804439000001</v>
      </c>
      <c r="L14" s="80">
        <f t="shared" si="4"/>
        <v>16069.732932500003</v>
      </c>
      <c r="M14" s="80">
        <f t="shared" si="4"/>
        <v>17622.316360440007</v>
      </c>
      <c r="N14" s="80">
        <f t="shared" si="4"/>
        <v>19320.466846082407</v>
      </c>
      <c r="O14" s="80">
        <f t="shared" si="4"/>
        <v>21598.551742859287</v>
      </c>
      <c r="P14" s="80">
        <f t="shared" si="4"/>
        <v>23770.748946712563</v>
      </c>
      <c r="Q14" s="80">
        <f t="shared" si="4"/>
        <v>26141.220855565291</v>
      </c>
      <c r="R14" s="80">
        <f t="shared" si="4"/>
        <v>27384.695144911097</v>
      </c>
    </row>
    <row r="15" spans="1:28" x14ac:dyDescent="0.25">
      <c r="A15" s="12">
        <v>0.23</v>
      </c>
      <c r="B15" s="4" t="s">
        <v>42</v>
      </c>
      <c r="C15" s="92"/>
      <c r="D15" s="92"/>
      <c r="E15" s="92"/>
      <c r="F15" s="92">
        <f>F11*0.1545</f>
        <v>143.056185</v>
      </c>
      <c r="G15" s="92">
        <f>G11*15.88</f>
        <v>18140.994400000003</v>
      </c>
      <c r="H15" s="80">
        <f>H11*-0.249</f>
        <v>-4139.63994</v>
      </c>
      <c r="I15" s="80">
        <f>I11*-0.1392</f>
        <v>-5204.3942879999995</v>
      </c>
      <c r="J15" s="80">
        <f>J11*-0.102</f>
        <v>-4245.9896999999992</v>
      </c>
      <c r="K15" s="80">
        <f>K11*-0.0843</f>
        <v>-3824.0747670000001</v>
      </c>
      <c r="L15" s="80">
        <f t="shared" ref="L15:R15" si="5">L14*(1-$A$15)</f>
        <v>12373.694358025003</v>
      </c>
      <c r="M15" s="80">
        <f>M14*(1-$A$15)</f>
        <v>13569.183597538806</v>
      </c>
      <c r="N15" s="80">
        <f t="shared" si="5"/>
        <v>14876.759471483454</v>
      </c>
      <c r="O15" s="80">
        <f t="shared" si="5"/>
        <v>16630.884842001651</v>
      </c>
      <c r="P15" s="80">
        <f t="shared" si="5"/>
        <v>18303.476688968673</v>
      </c>
      <c r="Q15" s="80">
        <f t="shared" si="5"/>
        <v>20128.740058785275</v>
      </c>
      <c r="R15" s="80">
        <f t="shared" si="5"/>
        <v>21086.215261581547</v>
      </c>
    </row>
    <row r="16" spans="1:28" ht="32.25" hidden="1" thickBot="1" x14ac:dyDescent="0.3">
      <c r="A16" s="14" t="s">
        <v>6</v>
      </c>
      <c r="B16" s="15"/>
      <c r="C16" s="16" t="e">
        <f t="shared" ref="C16:K16" si="6">C15/C14</f>
        <v>#DIV/0!</v>
      </c>
      <c r="D16" s="16" t="e">
        <f t="shared" si="6"/>
        <v>#DIV/0!</v>
      </c>
      <c r="E16" s="16" t="e">
        <f t="shared" si="6"/>
        <v>#DIV/0!</v>
      </c>
      <c r="F16" s="16">
        <f t="shared" si="6"/>
        <v>0.85643015521064303</v>
      </c>
      <c r="G16" s="16">
        <f t="shared" si="6"/>
        <v>91.316848763657291</v>
      </c>
      <c r="H16" s="16">
        <f t="shared" si="6"/>
        <v>-0.90677348871085217</v>
      </c>
      <c r="I16" s="16">
        <f t="shared" si="6"/>
        <v>-0.51138868479059518</v>
      </c>
      <c r="J16" s="16">
        <f t="shared" si="6"/>
        <v>-0.3581460674157303</v>
      </c>
      <c r="K16" s="16">
        <f t="shared" si="6"/>
        <v>-0.28761514841351071</v>
      </c>
    </row>
    <row r="17" spans="1:18" x14ac:dyDescent="0.25">
      <c r="A17" s="2" t="s">
        <v>39</v>
      </c>
      <c r="C17" s="92"/>
      <c r="D17" s="92"/>
      <c r="E17" s="92"/>
      <c r="F17" s="92"/>
      <c r="G17" s="92"/>
      <c r="H17" s="80">
        <f>H15/H18</f>
        <v>-3.6586645773344575</v>
      </c>
      <c r="I17" s="80">
        <f t="shared" ref="I17:Q17" si="7">I15/I18</f>
        <v>-4.5768234188196137</v>
      </c>
      <c r="J17" s="80">
        <f t="shared" si="7"/>
        <v>-3.7154108069225633</v>
      </c>
      <c r="K17" s="80">
        <f t="shared" si="7"/>
        <v>-3.3295705133871056</v>
      </c>
      <c r="L17" s="80">
        <f t="shared" si="7"/>
        <v>10.260580385955876</v>
      </c>
      <c r="M17" s="80">
        <f t="shared" si="7"/>
        <v>10.716105053640073</v>
      </c>
      <c r="N17" s="80">
        <f t="shared" si="7"/>
        <v>11.189283718346259</v>
      </c>
      <c r="O17" s="80">
        <f t="shared" si="7"/>
        <v>11.912968734955717</v>
      </c>
      <c r="P17" s="80">
        <f t="shared" si="7"/>
        <v>12.486736208720931</v>
      </c>
      <c r="Q17" s="80">
        <f t="shared" si="7"/>
        <v>13.078039325483115</v>
      </c>
      <c r="R17" s="80"/>
    </row>
    <row r="18" spans="1:18" ht="32.25" thickBot="1" x14ac:dyDescent="0.3">
      <c r="A18" s="2" t="s">
        <v>41</v>
      </c>
      <c r="C18" s="92"/>
      <c r="D18" s="92"/>
      <c r="E18" s="92"/>
      <c r="F18" s="92"/>
      <c r="G18" s="92"/>
      <c r="H18" s="80">
        <f>D50</f>
        <v>1131.462</v>
      </c>
      <c r="I18" s="80">
        <f>H18*1.005</f>
        <v>1137.1193099999998</v>
      </c>
      <c r="J18" s="80">
        <f t="shared" ref="J18:K18" si="8">I18*1.005</f>
        <v>1142.8049065499997</v>
      </c>
      <c r="K18" s="80">
        <f t="shared" si="8"/>
        <v>1148.5189310827495</v>
      </c>
      <c r="L18" s="80">
        <f>K18*1.05</f>
        <v>1205.944877636887</v>
      </c>
      <c r="M18" s="80">
        <f t="shared" ref="M18:Q18" si="9">L18*1.05</f>
        <v>1266.2421215187314</v>
      </c>
      <c r="N18" s="80">
        <f>M18*1.05</f>
        <v>1329.554227594668</v>
      </c>
      <c r="O18" s="80">
        <f t="shared" si="9"/>
        <v>1396.0319389744013</v>
      </c>
      <c r="P18" s="80">
        <f t="shared" si="9"/>
        <v>1465.8335359231214</v>
      </c>
      <c r="Q18" s="80">
        <f t="shared" si="9"/>
        <v>1539.1252127192774</v>
      </c>
      <c r="R18" s="80"/>
    </row>
    <row r="19" spans="1:18" ht="16.5" thickBot="1" x14ac:dyDescent="0.3">
      <c r="A19" s="2"/>
      <c r="F19" s="55" t="s">
        <v>12</v>
      </c>
      <c r="G19" s="56"/>
      <c r="H19" s="57">
        <f>H15/(1+$C$55)</f>
        <v>-3743.8437715470618</v>
      </c>
      <c r="I19" s="57">
        <f>I15/(1+$C$55)^2</f>
        <v>-4256.7729858025768</v>
      </c>
      <c r="J19" s="57">
        <f>J15/(1+$C$55)^3</f>
        <v>-3140.8296618014347</v>
      </c>
      <c r="K19" s="57">
        <f>K15/(1+$C$55)^4</f>
        <v>-2558.2734954071238</v>
      </c>
      <c r="L19" s="57">
        <f>L15/(1+$C$55)^5</f>
        <v>7486.4362374983593</v>
      </c>
      <c r="M19" s="57">
        <f>M15/(1+$C$55)^6</f>
        <v>7424.7975019180449</v>
      </c>
      <c r="N19" s="57">
        <f>N15/(1+$C$55)^7</f>
        <v>7361.9757968085478</v>
      </c>
      <c r="O19" s="57">
        <f>O15/(1+$C$55)^8</f>
        <v>7443.1461978930247</v>
      </c>
      <c r="P19" s="57">
        <f>P15/(1+$C$55)^9</f>
        <v>7408.4939866117202</v>
      </c>
      <c r="Q19" s="57">
        <f>Q15/(1+$C$55)^10</f>
        <v>7368.3132844908669</v>
      </c>
      <c r="R19" s="58">
        <f>(R15/(C55-R12))/(1+C55)^10</f>
        <v>90047.574225026488</v>
      </c>
    </row>
    <row r="20" spans="1:18" x14ac:dyDescent="0.25">
      <c r="A20" s="2"/>
      <c r="C20" s="83"/>
      <c r="D20" s="9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4" t="s">
        <v>28</v>
      </c>
      <c r="H23" s="24"/>
      <c r="I23" s="87">
        <v>1.4999999999999999E-2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8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9">
        <f>(I27-I23)*I29</f>
        <v>9.0719200000000014E-2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8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90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8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99">
        <f>1.04*1.3*1.22</f>
        <v>1.64944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8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90">
        <f>I23+(I27-I23)*I29</f>
        <v>0.10571920000000001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4" t="s">
        <v>37</v>
      </c>
      <c r="H33" s="85"/>
      <c r="I33" s="86">
        <f>I31</f>
        <v>0.10571920000000001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0.10571920000000001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5">
        <v>44708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8">
        <f>C50*C51</f>
        <v>98629.542539999995</v>
      </c>
      <c r="D49" s="51">
        <f>SUM(H19:R19)</f>
        <v>120841.01731568886</v>
      </c>
      <c r="E49" s="49" t="s">
        <v>47</v>
      </c>
    </row>
    <row r="50" spans="1:17" x14ac:dyDescent="0.25">
      <c r="A50" s="48"/>
      <c r="B50" s="49" t="s">
        <v>11</v>
      </c>
      <c r="C50" s="50">
        <v>1131.462</v>
      </c>
      <c r="D50" s="50">
        <f>C50</f>
        <v>1131.462</v>
      </c>
      <c r="E50" s="49"/>
    </row>
    <row r="51" spans="1:17" x14ac:dyDescent="0.25">
      <c r="A51" s="48"/>
      <c r="B51" s="49" t="s">
        <v>13</v>
      </c>
      <c r="C51" s="49">
        <v>87.17</v>
      </c>
      <c r="D51" s="61">
        <f>D49/(D50)</f>
        <v>106.8007739682719</v>
      </c>
      <c r="E51" s="49" t="s">
        <v>47</v>
      </c>
    </row>
    <row r="52" spans="1:17" x14ac:dyDescent="0.25">
      <c r="A52" s="48"/>
      <c r="B52" s="49" t="s">
        <v>2</v>
      </c>
      <c r="C52" s="49"/>
      <c r="D52" s="62">
        <f>IF(C51/D51-1&gt;0,0,C51/D51-1)*-1</f>
        <v>0.18380741298844661</v>
      </c>
      <c r="E52" s="49"/>
    </row>
    <row r="53" spans="1:17" x14ac:dyDescent="0.25">
      <c r="A53" s="48"/>
      <c r="B53" s="49" t="s">
        <v>14</v>
      </c>
      <c r="C53" s="49"/>
      <c r="D53" s="63">
        <f>IF(C51/D51-1&lt;0,0,C51/D51-1)</f>
        <v>0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22</v>
      </c>
      <c r="B55" s="49"/>
      <c r="C55" s="54">
        <f>D46</f>
        <v>0.10571920000000001</v>
      </c>
      <c r="D55" s="53"/>
      <c r="E55" s="49"/>
      <c r="J55" s="77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25</v>
      </c>
      <c r="B57" s="81">
        <v>0.108</v>
      </c>
      <c r="C57" s="54"/>
      <c r="D57" s="82">
        <f>SUM(H57:Q57)*1000</f>
        <v>108884246.63444681</v>
      </c>
      <c r="E57" s="49"/>
      <c r="F57" s="1" t="s">
        <v>26</v>
      </c>
      <c r="H57" s="1">
        <f>H15/(1+$B$57)</f>
        <v>-3736.1371299638986</v>
      </c>
      <c r="I57" s="1">
        <f>I15/(1+$B$57)^2</f>
        <v>-4239.2660271865907</v>
      </c>
      <c r="J57" s="1">
        <f>J15/(1+$B$57)^3</f>
        <v>-3121.4735203362111</v>
      </c>
      <c r="K57" s="1">
        <f>K15/(1+$B$57)^4</f>
        <v>-2537.2737903585985</v>
      </c>
      <c r="L57" s="1">
        <f>L15/(1+$B$57)^5</f>
        <v>7409.699275201071</v>
      </c>
      <c r="M57" s="1">
        <f>M15/(1+$B$57)^6</f>
        <v>7333.5651810098916</v>
      </c>
      <c r="N57" s="1">
        <f>N15/(1+$B$57)^7</f>
        <v>7256.5471023120517</v>
      </c>
      <c r="O57" s="1">
        <f>O15/(1+$B$57)^8</f>
        <v>7321.452906449329</v>
      </c>
      <c r="P57" s="1">
        <f>P15/(1+$B$57)^9</f>
        <v>7272.3663217232615</v>
      </c>
      <c r="Q57" s="1">
        <f>(R15/(B57-R12))/(1+B57)^10</f>
        <v>85924.766315596513</v>
      </c>
    </row>
    <row r="58" spans="1:17" ht="16.5" thickBot="1" x14ac:dyDescent="0.3">
      <c r="A58" s="23"/>
      <c r="C58" s="72"/>
      <c r="D58" s="73"/>
    </row>
    <row r="59" spans="1:17" x14ac:dyDescent="0.25">
      <c r="A59" s="64" t="s">
        <v>44</v>
      </c>
      <c r="B59" s="24"/>
      <c r="C59" s="74">
        <v>25</v>
      </c>
      <c r="D59" s="24"/>
      <c r="E59" s="25"/>
    </row>
    <row r="60" spans="1:17" x14ac:dyDescent="0.25">
      <c r="A60" s="26" t="s">
        <v>24</v>
      </c>
      <c r="B60" s="27"/>
      <c r="C60" s="75"/>
      <c r="D60" s="27"/>
      <c r="E60" s="28"/>
    </row>
    <row r="61" spans="1:17" x14ac:dyDescent="0.25">
      <c r="A61" s="26"/>
      <c r="B61" s="27"/>
      <c r="C61" s="75"/>
      <c r="D61" s="27"/>
      <c r="E61" s="28"/>
    </row>
    <row r="62" spans="1:17" x14ac:dyDescent="0.25">
      <c r="A62" s="26" t="s">
        <v>40</v>
      </c>
      <c r="B62" s="27"/>
      <c r="C62" s="75"/>
      <c r="D62" s="27"/>
      <c r="E62" s="65">
        <f>Q17*C59</f>
        <v>326.95098313707786</v>
      </c>
    </row>
    <row r="63" spans="1:17" x14ac:dyDescent="0.25">
      <c r="A63" s="26"/>
      <c r="B63" s="27"/>
      <c r="C63" s="75"/>
      <c r="D63" s="27"/>
      <c r="E63" s="28"/>
    </row>
    <row r="64" spans="1:17" x14ac:dyDescent="0.25">
      <c r="A64" s="26" t="s">
        <v>17</v>
      </c>
      <c r="B64" s="27"/>
      <c r="C64" s="76">
        <v>0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5">
        <f>SUM(H17:R17)*C64</f>
        <v>0</v>
      </c>
    </row>
    <row r="67" spans="1:5" x14ac:dyDescent="0.25">
      <c r="A67" s="26"/>
      <c r="B67" s="27"/>
      <c r="C67" s="27"/>
      <c r="D67" s="27"/>
      <c r="E67" s="66"/>
    </row>
    <row r="68" spans="1:5" x14ac:dyDescent="0.25">
      <c r="A68" s="67" t="s">
        <v>45</v>
      </c>
      <c r="B68" s="27"/>
      <c r="C68" s="27"/>
      <c r="D68" s="27"/>
      <c r="E68" s="68">
        <f>(E66*0.35)*-1</f>
        <v>0</v>
      </c>
    </row>
    <row r="69" spans="1:5" x14ac:dyDescent="0.25">
      <c r="A69" s="26"/>
      <c r="B69" s="27"/>
      <c r="C69" s="46"/>
      <c r="D69" s="46"/>
      <c r="E69" s="69"/>
    </row>
    <row r="70" spans="1:5" x14ac:dyDescent="0.25">
      <c r="A70" s="26" t="s">
        <v>19</v>
      </c>
      <c r="B70" s="27"/>
      <c r="C70" s="27"/>
      <c r="D70" s="27"/>
      <c r="E70" s="65">
        <f>SUM(E62:E68)</f>
        <v>326.95098313707786</v>
      </c>
    </row>
    <row r="71" spans="1:5" x14ac:dyDescent="0.25">
      <c r="A71" s="26"/>
      <c r="B71" s="27"/>
      <c r="C71" s="27"/>
      <c r="D71" s="27"/>
      <c r="E71" s="65"/>
    </row>
    <row r="72" spans="1:5" x14ac:dyDescent="0.25">
      <c r="A72" s="26" t="s">
        <v>20</v>
      </c>
      <c r="B72" s="27"/>
      <c r="C72" s="27"/>
      <c r="D72" s="27"/>
      <c r="E72" s="69">
        <f>E70/C51-1</f>
        <v>2.7507282681780181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0" t="s">
        <v>21</v>
      </c>
      <c r="B74" s="71"/>
      <c r="C74" s="71"/>
      <c r="D74" s="71"/>
      <c r="E74" s="93">
        <f>(E70/C51)^(1/10)-1</f>
        <v>0.14133086005077078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2022-05-27T17:04:00Z</dcterms:modified>
</cp:coreProperties>
</file>