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Medpace/"/>
    </mc:Choice>
  </mc:AlternateContent>
  <xr:revisionPtr revIDLastSave="689" documentId="13_ncr:1_{5B7E894B-7002-4BEF-A757-1B4A9DF51AA7}" xr6:coauthVersionLast="47" xr6:coauthVersionMax="47" xr10:uidLastSave="{9CF91E7B-4563-42FD-B184-3F6D438F280B}"/>
  <bookViews>
    <workbookView xWindow="28680" yWindow="-120" windowWidth="29040" windowHeight="15720" activeTab="1" xr2:uid="{00000000-000D-0000-FFFF-FFFF00000000}"/>
  </bookViews>
  <sheets>
    <sheet name="Pessimistisch" sheetId="36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32" l="1"/>
  <c r="F15" i="32"/>
  <c r="G14" i="32"/>
  <c r="F14" i="32"/>
  <c r="G12" i="32"/>
  <c r="G15" i="36"/>
  <c r="F15" i="36"/>
  <c r="L18" i="36"/>
  <c r="M18" i="36" s="1"/>
  <c r="N18" i="36" s="1"/>
  <c r="O18" i="36" s="1"/>
  <c r="P18" i="36" s="1"/>
  <c r="Q18" i="36" s="1"/>
  <c r="K18" i="36"/>
  <c r="J18" i="36"/>
  <c r="I18" i="36"/>
  <c r="N18" i="32"/>
  <c r="O18" i="32"/>
  <c r="P18" i="32"/>
  <c r="Q18" i="32" s="1"/>
  <c r="M18" i="32"/>
  <c r="J18" i="32"/>
  <c r="K18" i="32"/>
  <c r="I18" i="32"/>
  <c r="J15" i="36"/>
  <c r="K15" i="36"/>
  <c r="I15" i="36"/>
  <c r="I57" i="36" s="1"/>
  <c r="D50" i="36"/>
  <c r="C49" i="36"/>
  <c r="I29" i="36"/>
  <c r="I25" i="36" s="1"/>
  <c r="E16" i="36"/>
  <c r="D16" i="36"/>
  <c r="C16" i="36"/>
  <c r="K57" i="36"/>
  <c r="J57" i="36"/>
  <c r="H15" i="36"/>
  <c r="H57" i="36" s="1"/>
  <c r="K14" i="36"/>
  <c r="J14" i="36"/>
  <c r="I14" i="36"/>
  <c r="H14" i="36"/>
  <c r="H16" i="36" s="1"/>
  <c r="G14" i="36"/>
  <c r="F14" i="36"/>
  <c r="K12" i="36"/>
  <c r="J12" i="36"/>
  <c r="I12" i="36"/>
  <c r="H12" i="36"/>
  <c r="G12" i="36"/>
  <c r="L11" i="36"/>
  <c r="M11" i="36" s="1"/>
  <c r="I29" i="32"/>
  <c r="I31" i="32" s="1"/>
  <c r="I33" i="32" s="1"/>
  <c r="I25" i="32"/>
  <c r="D50" i="32"/>
  <c r="G16" i="36" l="1"/>
  <c r="F16" i="36"/>
  <c r="L14" i="36"/>
  <c r="L15" i="36" s="1"/>
  <c r="L57" i="36" s="1"/>
  <c r="N11" i="36"/>
  <c r="M14" i="36"/>
  <c r="M15" i="36" s="1"/>
  <c r="I16" i="36"/>
  <c r="I31" i="36"/>
  <c r="I33" i="36" s="1"/>
  <c r="D46" i="36" s="1"/>
  <c r="C55" i="36" s="1"/>
  <c r="H19" i="36" s="1"/>
  <c r="J16" i="36"/>
  <c r="H18" i="36"/>
  <c r="J19" i="36"/>
  <c r="K16" i="36"/>
  <c r="K17" i="36" l="1"/>
  <c r="I17" i="36"/>
  <c r="J17" i="36"/>
  <c r="M17" i="36"/>
  <c r="M19" i="36"/>
  <c r="M57" i="36"/>
  <c r="I19" i="36"/>
  <c r="O11" i="36"/>
  <c r="N14" i="36"/>
  <c r="N15" i="36" s="1"/>
  <c r="L19" i="36"/>
  <c r="H17" i="36"/>
  <c r="K19" i="36"/>
  <c r="L17" i="36"/>
  <c r="N19" i="36" l="1"/>
  <c r="N17" i="36"/>
  <c r="N57" i="36"/>
  <c r="O14" i="36"/>
  <c r="O15" i="36" s="1"/>
  <c r="P11" i="36"/>
  <c r="O19" i="36" l="1"/>
  <c r="O57" i="36"/>
  <c r="O17" i="36"/>
  <c r="P14" i="36"/>
  <c r="P15" i="36" s="1"/>
  <c r="Q11" i="36"/>
  <c r="P19" i="36" l="1"/>
  <c r="P17" i="36"/>
  <c r="P57" i="36"/>
  <c r="Q14" i="36"/>
  <c r="Q15" i="36" s="1"/>
  <c r="R11" i="36"/>
  <c r="R14" i="36" s="1"/>
  <c r="R15" i="36" s="1"/>
  <c r="D43" i="36" s="1"/>
  <c r="Q19" i="36" l="1"/>
  <c r="Q17" i="36"/>
  <c r="D40" i="36"/>
  <c r="Q57" i="36"/>
  <c r="D57" i="36" s="1"/>
  <c r="R19" i="36"/>
  <c r="D49" i="36" s="1"/>
  <c r="D51" i="36" s="1"/>
  <c r="D44" i="36"/>
  <c r="D41" i="36"/>
  <c r="D42" i="36"/>
  <c r="K15" i="32"/>
  <c r="J15" i="32"/>
  <c r="I15" i="32"/>
  <c r="H15" i="32"/>
  <c r="D53" i="36" l="1"/>
  <c r="D52" i="36"/>
  <c r="E62" i="36"/>
  <c r="E66" i="36"/>
  <c r="E68" i="36" s="1"/>
  <c r="H18" i="32"/>
  <c r="H17" i="32" s="1"/>
  <c r="L18" i="32"/>
  <c r="I57" i="32"/>
  <c r="K12" i="32"/>
  <c r="C49" i="32"/>
  <c r="D46" i="32"/>
  <c r="C55" i="32" s="1"/>
  <c r="G16" i="32"/>
  <c r="F16" i="32"/>
  <c r="E16" i="32"/>
  <c r="D16" i="32"/>
  <c r="C16" i="32"/>
  <c r="J14" i="32"/>
  <c r="I14" i="32"/>
  <c r="H14" i="32"/>
  <c r="J12" i="32"/>
  <c r="I12" i="32"/>
  <c r="H12" i="32"/>
  <c r="L11" i="32"/>
  <c r="E70" i="36" l="1"/>
  <c r="E74" i="36" s="1"/>
  <c r="I16" i="32"/>
  <c r="I17" i="32"/>
  <c r="J17" i="32"/>
  <c r="J16" i="32"/>
  <c r="L14" i="32"/>
  <c r="L15" i="32" s="1"/>
  <c r="M11" i="32"/>
  <c r="H19" i="32"/>
  <c r="I19" i="32"/>
  <c r="J19" i="32"/>
  <c r="H57" i="32"/>
  <c r="K14" i="32"/>
  <c r="H16" i="32"/>
  <c r="J57" i="32"/>
  <c r="E72" i="36" l="1"/>
  <c r="K57" i="32"/>
  <c r="K19" i="32"/>
  <c r="K17" i="32"/>
  <c r="K16" i="32"/>
  <c r="M14" i="32"/>
  <c r="M15" i="32" s="1"/>
  <c r="N11" i="32"/>
  <c r="L19" i="32"/>
  <c r="L17" i="32"/>
  <c r="L57" i="32"/>
  <c r="M19" i="32" l="1"/>
  <c r="M17" i="32"/>
  <c r="M57" i="32"/>
  <c r="N14" i="32"/>
  <c r="N15" i="32" s="1"/>
  <c r="O11" i="32"/>
  <c r="O14" i="32" l="1"/>
  <c r="O15" i="32" s="1"/>
  <c r="P11" i="32"/>
  <c r="N19" i="32"/>
  <c r="N17" i="32"/>
  <c r="N57" i="32"/>
  <c r="Q11" i="32" l="1"/>
  <c r="P14" i="32"/>
  <c r="P15" i="32" s="1"/>
  <c r="O17" i="32"/>
  <c r="O57" i="32"/>
  <c r="O19" i="32"/>
  <c r="P17" i="32" l="1"/>
  <c r="P19" i="32"/>
  <c r="P57" i="32"/>
  <c r="Q14" i="32"/>
  <c r="R11" i="32"/>
  <c r="R14" i="32" s="1"/>
  <c r="R15" i="32" s="1"/>
  <c r="Q15" i="32" l="1"/>
  <c r="D43" i="32" s="1"/>
  <c r="Q57" i="32"/>
  <c r="D57" i="32" s="1"/>
  <c r="R19" i="32"/>
  <c r="D44" i="32"/>
  <c r="D40" i="32"/>
  <c r="D42" i="32"/>
  <c r="D41" i="32"/>
  <c r="Q19" i="32" l="1"/>
  <c r="Q17" i="32"/>
  <c r="E62" i="32"/>
  <c r="E66" i="32"/>
  <c r="E68" i="32" s="1"/>
  <c r="D49" i="32"/>
  <c r="D51" i="32" s="1"/>
  <c r="D53" i="32" l="1"/>
  <c r="D52" i="32"/>
  <c r="E70" i="32"/>
  <c r="E74" i="32" l="1"/>
  <c r="E72" i="32"/>
</calcChain>
</file>

<file path=xl/sharedStrings.xml><?xml version="1.0" encoding="utf-8"?>
<sst xmlns="http://schemas.openxmlformats.org/spreadsheetml/2006/main" count="98" uniqueCount="48">
  <si>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</si>
  <si>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</si>
  <si>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</si>
  <si>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</si>
  <si>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</si>
  <si>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</si>
  <si>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</si>
  <si>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</si>
  <si>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</si>
  <si>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</si>
  <si>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</si>
  <si>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</si>
  <si>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</si>
  <si>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</si>
  <si>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</si>
  <si>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</si>
  <si>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</si>
  <si>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</si>
  <si>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</si>
  <si>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</si>
  <si>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</si>
  <si>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</si>
  <si>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</si>
  <si>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</si>
  <si>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</si>
  <si>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</si>
  <si>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</si>
  <si>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</si>
  <si>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</si>
  <si>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</si>
  <si>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</si>
  <si>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</si>
  <si>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</si>
  <si>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</si>
  <si>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</si>
  <si>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</si>
  <si>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</si>
  <si>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</si>
  <si>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</si>
  <si>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</si>
  <si>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</si>
  <si>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</si>
  <si>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</si>
  <si>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2032ff.</t>
  </si>
  <si>
    <t>KGV Multiple in 2031</t>
  </si>
  <si>
    <t>Quellensteuer Frankreich (35 %)</t>
  </si>
  <si>
    <t>USD</t>
  </si>
  <si>
    <t xml:space="preserve"> Annahmen für Medpace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</si>
</sst>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9" fontId="3" fillId="6" borderId="0" xfId="1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0" fontId="5" fillId="7" borderId="0" xfId="0" applyFont="1" applyFill="1"/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9" fillId="7" borderId="0" xfId="1" applyFont="1" applyFill="1"/>
    <xf numFmtId="4" fontId="9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2" borderId="0" xfId="0" applyNumberFormat="1" applyFill="1" applyBorder="1" applyAlignment="1">
      <alignment horizontal="right"/>
    </xf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F5E7784-C301-461D-9412-068DA4904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022A-61E1-4E28-B4E7-50A2CAE533B5}">
  <dimension ref="A2:AB74"/>
  <sheetViews>
    <sheetView topLeftCell="B29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47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0">
        <v>2022</v>
      </c>
      <c r="I10" s="60">
        <v>2023</v>
      </c>
      <c r="J10" s="60">
        <v>2024</v>
      </c>
      <c r="K10" s="60">
        <v>2025</v>
      </c>
      <c r="L10" s="60">
        <v>2026</v>
      </c>
      <c r="M10" s="60">
        <v>2027</v>
      </c>
      <c r="N10" s="60">
        <v>2028</v>
      </c>
      <c r="O10" s="60">
        <v>2029</v>
      </c>
      <c r="P10" s="60">
        <v>2030</v>
      </c>
      <c r="Q10" s="60">
        <v>2031</v>
      </c>
      <c r="R10" s="59" t="s">
        <v>43</v>
      </c>
    </row>
    <row r="11" spans="1:28" x14ac:dyDescent="0.25">
      <c r="A11" s="5"/>
      <c r="B11" s="4" t="s">
        <v>4</v>
      </c>
      <c r="C11" s="92"/>
      <c r="D11" s="92"/>
      <c r="E11" s="92"/>
      <c r="F11" s="92">
        <v>925.93</v>
      </c>
      <c r="G11" s="92">
        <v>1142.3800000000001</v>
      </c>
      <c r="H11" s="80">
        <v>1410.58</v>
      </c>
      <c r="I11" s="80">
        <v>1500</v>
      </c>
      <c r="J11" s="80">
        <v>1770</v>
      </c>
      <c r="K11" s="80">
        <v>1907</v>
      </c>
      <c r="L11" s="80">
        <f t="shared" ref="L11:R11" si="0">K11*(1+L12)</f>
        <v>2040.49</v>
      </c>
      <c r="M11" s="80">
        <f t="shared" si="0"/>
        <v>2183.3243000000002</v>
      </c>
      <c r="N11" s="80">
        <f t="shared" si="0"/>
        <v>2401.6567300000006</v>
      </c>
      <c r="O11" s="80">
        <f t="shared" si="0"/>
        <v>2521.7395665000008</v>
      </c>
      <c r="P11" s="80">
        <f t="shared" si="0"/>
        <v>2647.8265448250008</v>
      </c>
      <c r="Q11" s="80">
        <f t="shared" si="0"/>
        <v>2727.2613411697507</v>
      </c>
      <c r="R11" s="80">
        <f t="shared" si="0"/>
        <v>2768.1702612872969</v>
      </c>
    </row>
    <row r="12" spans="1:28" x14ac:dyDescent="0.25">
      <c r="A12" s="5"/>
      <c r="B12" s="4" t="s">
        <v>1</v>
      </c>
      <c r="C12" s="98"/>
      <c r="D12" s="98"/>
      <c r="E12" s="98"/>
      <c r="F12" s="98"/>
      <c r="G12" s="98">
        <f t="shared" ref="G12:K12" si="1">G11/F11-1</f>
        <v>0.23376497143412589</v>
      </c>
      <c r="H12" s="91">
        <f t="shared" si="1"/>
        <v>0.23477301773490411</v>
      </c>
      <c r="I12" s="97">
        <f t="shared" si="1"/>
        <v>6.339236342497423E-2</v>
      </c>
      <c r="J12" s="97">
        <f t="shared" si="1"/>
        <v>0.17999999999999994</v>
      </c>
      <c r="K12" s="97">
        <f t="shared" si="1"/>
        <v>7.74011299435029E-2</v>
      </c>
      <c r="L12" s="79">
        <v>7.0000000000000007E-2</v>
      </c>
      <c r="M12" s="79">
        <v>7.0000000000000007E-2</v>
      </c>
      <c r="N12" s="79">
        <v>0.1</v>
      </c>
      <c r="O12" s="79">
        <v>0.05</v>
      </c>
      <c r="P12" s="79">
        <v>0.05</v>
      </c>
      <c r="Q12" s="79">
        <v>0.03</v>
      </c>
      <c r="R12" s="13">
        <v>1.4999999999999999E-2</v>
      </c>
    </row>
    <row r="13" spans="1:28" ht="15.95" customHeight="1" x14ac:dyDescent="0.25">
      <c r="A13" s="5"/>
      <c r="B13" s="4" t="s">
        <v>15</v>
      </c>
      <c r="C13" s="98"/>
      <c r="D13" s="98"/>
      <c r="E13" s="98"/>
      <c r="F13" s="98">
        <v>0.1804</v>
      </c>
      <c r="G13" s="98">
        <v>0.1739</v>
      </c>
      <c r="H13" s="79">
        <v>0.1721</v>
      </c>
      <c r="I13" s="79">
        <v>0.155</v>
      </c>
      <c r="J13" s="79">
        <v>0.15</v>
      </c>
      <c r="K13" s="96">
        <v>0.14499999999999999</v>
      </c>
      <c r="L13" s="79">
        <v>0.15</v>
      </c>
      <c r="M13" s="79">
        <v>0.15</v>
      </c>
      <c r="N13" s="79">
        <v>0.15</v>
      </c>
      <c r="O13" s="79">
        <v>0.15</v>
      </c>
      <c r="P13" s="79">
        <v>0.15</v>
      </c>
      <c r="Q13" s="79">
        <v>0.15</v>
      </c>
      <c r="R13" s="79">
        <v>0.15</v>
      </c>
    </row>
    <row r="14" spans="1:28" ht="17.100000000000001" customHeight="1" x14ac:dyDescent="0.25">
      <c r="A14" s="5"/>
      <c r="B14" s="4" t="s">
        <v>16</v>
      </c>
      <c r="C14" s="92"/>
      <c r="D14" s="92"/>
      <c r="E14" s="92"/>
      <c r="F14" s="92">
        <f t="shared" ref="F14:G14" si="2">F11*F13</f>
        <v>167.03777199999999</v>
      </c>
      <c r="G14" s="92">
        <f t="shared" si="2"/>
        <v>198.65988200000001</v>
      </c>
      <c r="H14" s="80">
        <f>H11*H13</f>
        <v>242.760818</v>
      </c>
      <c r="I14" s="80">
        <f t="shared" ref="I14:R14" si="3">I11*I13</f>
        <v>232.5</v>
      </c>
      <c r="J14" s="80">
        <f t="shared" si="3"/>
        <v>265.5</v>
      </c>
      <c r="K14" s="80">
        <f t="shared" si="3"/>
        <v>276.51499999999999</v>
      </c>
      <c r="L14" s="80">
        <f t="shared" si="3"/>
        <v>306.07349999999997</v>
      </c>
      <c r="M14" s="80">
        <f t="shared" si="3"/>
        <v>327.49864500000001</v>
      </c>
      <c r="N14" s="80">
        <f t="shared" si="3"/>
        <v>360.24850950000007</v>
      </c>
      <c r="O14" s="80">
        <f t="shared" si="3"/>
        <v>378.26093497500011</v>
      </c>
      <c r="P14" s="80">
        <f t="shared" si="3"/>
        <v>397.1739817237501</v>
      </c>
      <c r="Q14" s="80">
        <f t="shared" si="3"/>
        <v>409.08920117546262</v>
      </c>
      <c r="R14" s="80">
        <f t="shared" si="3"/>
        <v>415.22553919309451</v>
      </c>
    </row>
    <row r="15" spans="1:28" x14ac:dyDescent="0.25">
      <c r="A15" s="12">
        <v>0.2</v>
      </c>
      <c r="B15" s="4" t="s">
        <v>42</v>
      </c>
      <c r="C15" s="92"/>
      <c r="D15" s="92"/>
      <c r="E15" s="92"/>
      <c r="F15" s="92">
        <f>F11*0.1545</f>
        <v>143.056185</v>
      </c>
      <c r="G15" s="92">
        <f>G11*15.88</f>
        <v>18140.994400000003</v>
      </c>
      <c r="H15" s="80">
        <f>H11*0.1501</f>
        <v>211.728058</v>
      </c>
      <c r="I15" s="80">
        <f>I11*0.125</f>
        <v>187.5</v>
      </c>
      <c r="J15" s="80">
        <f t="shared" ref="J15:K15" si="4">J11*0.125</f>
        <v>221.25</v>
      </c>
      <c r="K15" s="80">
        <f t="shared" si="4"/>
        <v>238.375</v>
      </c>
      <c r="L15" s="80">
        <f t="shared" ref="L15:R15" si="5">L14*(1-$A$15)</f>
        <v>244.85879999999997</v>
      </c>
      <c r="M15" s="80">
        <f t="shared" si="5"/>
        <v>261.99891600000001</v>
      </c>
      <c r="N15" s="80">
        <f t="shared" si="5"/>
        <v>288.19880760000007</v>
      </c>
      <c r="O15" s="80">
        <f t="shared" si="5"/>
        <v>302.60874798000009</v>
      </c>
      <c r="P15" s="80">
        <f t="shared" si="5"/>
        <v>317.73918537900011</v>
      </c>
      <c r="Q15" s="80">
        <f t="shared" si="5"/>
        <v>327.27136094037013</v>
      </c>
      <c r="R15" s="80">
        <f t="shared" si="5"/>
        <v>332.18043135447562</v>
      </c>
    </row>
    <row r="16" spans="1:28" ht="32.25" hidden="1" thickBot="1" x14ac:dyDescent="0.3">
      <c r="A16" s="14" t="s">
        <v>6</v>
      </c>
      <c r="B16" s="15"/>
      <c r="C16" s="16" t="e">
        <f t="shared" ref="C16:K16" si="6">C15/C14</f>
        <v>#DIV/0!</v>
      </c>
      <c r="D16" s="16" t="e">
        <f t="shared" si="6"/>
        <v>#DIV/0!</v>
      </c>
      <c r="E16" s="16" t="e">
        <f t="shared" si="6"/>
        <v>#DIV/0!</v>
      </c>
      <c r="F16" s="16">
        <f t="shared" si="6"/>
        <v>0.85643015521064303</v>
      </c>
      <c r="G16" s="16">
        <f t="shared" si="6"/>
        <v>91.316848763657291</v>
      </c>
      <c r="H16" s="16">
        <f t="shared" si="6"/>
        <v>0.8721673445671122</v>
      </c>
      <c r="I16" s="16">
        <f t="shared" si="6"/>
        <v>0.80645161290322576</v>
      </c>
      <c r="J16" s="16">
        <f t="shared" si="6"/>
        <v>0.83333333333333337</v>
      </c>
      <c r="K16" s="16">
        <f t="shared" si="6"/>
        <v>0.86206896551724144</v>
      </c>
    </row>
    <row r="17" spans="1:18" x14ac:dyDescent="0.25">
      <c r="A17" s="2" t="s">
        <v>39</v>
      </c>
      <c r="C17" s="92"/>
      <c r="D17" s="92"/>
      <c r="E17" s="92"/>
      <c r="F17" s="92"/>
      <c r="G17" s="92"/>
      <c r="H17" s="80">
        <f>H15/H18</f>
        <v>5.9474173595505615</v>
      </c>
      <c r="I17" s="80">
        <f t="shared" ref="I17:Q17" si="7">I15/I18</f>
        <v>5.1635822868473227</v>
      </c>
      <c r="J17" s="80">
        <f t="shared" si="7"/>
        <v>5.9735559789018042</v>
      </c>
      <c r="K17" s="80">
        <f t="shared" si="7"/>
        <v>6.4359159614495702</v>
      </c>
      <c r="L17" s="80">
        <f t="shared" si="7"/>
        <v>6.6109728756009982</v>
      </c>
      <c r="M17" s="80">
        <f t="shared" si="7"/>
        <v>7.0737409768930695</v>
      </c>
      <c r="N17" s="80">
        <f t="shared" si="7"/>
        <v>7.7811150745823774</v>
      </c>
      <c r="O17" s="80">
        <f t="shared" si="7"/>
        <v>8.1701708283114964</v>
      </c>
      <c r="P17" s="80">
        <f t="shared" si="7"/>
        <v>8.5786793697270713</v>
      </c>
      <c r="Q17" s="80">
        <f t="shared" si="7"/>
        <v>8.8360397508188839</v>
      </c>
      <c r="R17" s="80"/>
    </row>
    <row r="18" spans="1:18" ht="32.25" thickBot="1" x14ac:dyDescent="0.3">
      <c r="A18" s="2" t="s">
        <v>41</v>
      </c>
      <c r="C18" s="92"/>
      <c r="D18" s="92"/>
      <c r="E18" s="92"/>
      <c r="F18" s="92"/>
      <c r="G18" s="92"/>
      <c r="H18" s="80">
        <f>D50</f>
        <v>35.6</v>
      </c>
      <c r="I18" s="80">
        <f>H18*1.02</f>
        <v>36.312000000000005</v>
      </c>
      <c r="J18" s="80">
        <f>I18*1.02</f>
        <v>37.038240000000009</v>
      </c>
      <c r="K18" s="80">
        <f>J18</f>
        <v>37.038240000000009</v>
      </c>
      <c r="L18" s="80">
        <f t="shared" ref="L18:Q18" si="8">K18</f>
        <v>37.038240000000009</v>
      </c>
      <c r="M18" s="80">
        <f t="shared" si="8"/>
        <v>37.038240000000009</v>
      </c>
      <c r="N18" s="80">
        <f t="shared" si="8"/>
        <v>37.038240000000009</v>
      </c>
      <c r="O18" s="80">
        <f t="shared" si="8"/>
        <v>37.038240000000009</v>
      </c>
      <c r="P18" s="80">
        <f t="shared" si="8"/>
        <v>37.038240000000009</v>
      </c>
      <c r="Q18" s="80">
        <f t="shared" si="8"/>
        <v>37.038240000000009</v>
      </c>
      <c r="R18" s="80"/>
    </row>
    <row r="19" spans="1:18" ht="16.5" thickBot="1" x14ac:dyDescent="0.3">
      <c r="A19" s="2"/>
      <c r="F19" s="55" t="s">
        <v>12</v>
      </c>
      <c r="G19" s="56"/>
      <c r="H19" s="57">
        <f>H15/(1+$C$55)</f>
        <v>196.61064122024518</v>
      </c>
      <c r="I19" s="57">
        <f>I15/(1+$C$55)^2</f>
        <v>161.68081250426692</v>
      </c>
      <c r="J19" s="57">
        <f>J15/(1+$C$55)^3</f>
        <v>177.16139680920094</v>
      </c>
      <c r="K19" s="57">
        <f>K15/(1+$C$55)^4</f>
        <v>177.24546327751156</v>
      </c>
      <c r="L19" s="57">
        <f>L15/(1+$C$55)^5</f>
        <v>169.06696017726028</v>
      </c>
      <c r="M19" s="57">
        <f>M15/(1+$C$55)^6</f>
        <v>167.98524119595629</v>
      </c>
      <c r="N19" s="57">
        <f>N15/(1+$C$55)^7</f>
        <v>171.59017528882248</v>
      </c>
      <c r="O19" s="57">
        <f>O15/(1+$C$55)^8</f>
        <v>167.30554015737084</v>
      </c>
      <c r="P19" s="57">
        <f>P15/(1+$C$55)^9</f>
        <v>163.1278930756649</v>
      </c>
      <c r="Q19" s="57">
        <f>Q15/(1+$C$55)^10</f>
        <v>156.02495181942061</v>
      </c>
      <c r="R19" s="58">
        <f>(R15/(C55-R12))/(1+C55)^10</f>
        <v>2558.8141257868178</v>
      </c>
    </row>
    <row r="20" spans="1:18" x14ac:dyDescent="0.25">
      <c r="A20" s="2"/>
      <c r="C20" s="83"/>
      <c r="D20" s="94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27</v>
      </c>
      <c r="B23" s="35"/>
      <c r="C23" s="35"/>
      <c r="D23" s="36"/>
      <c r="E23" s="24"/>
      <c r="F23" s="35"/>
      <c r="G23" s="64" t="s">
        <v>28</v>
      </c>
      <c r="H23" s="24"/>
      <c r="I23" s="87">
        <v>1.4999999999999999E-2</v>
      </c>
      <c r="J23" s="25" t="s">
        <v>29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8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30</v>
      </c>
      <c r="H25" s="27"/>
      <c r="I25" s="89">
        <f>(I27-I23)*I29</f>
        <v>6.1890124999999997E-2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8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31</v>
      </c>
      <c r="H27" s="27"/>
      <c r="I27" s="90">
        <v>7.0000000000000007E-2</v>
      </c>
      <c r="J27" s="28" t="s">
        <v>32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8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38</v>
      </c>
      <c r="H29" s="27"/>
      <c r="I29" s="99">
        <f>0.95*1.03*1.15</f>
        <v>1.1252749999999998</v>
      </c>
      <c r="J29" s="28" t="s">
        <v>33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8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34</v>
      </c>
      <c r="H31" s="27"/>
      <c r="I31" s="90">
        <f>I23+(I27-I23)*I29</f>
        <v>7.6890125000000004E-2</v>
      </c>
      <c r="J31" s="28" t="s">
        <v>35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4" t="s">
        <v>37</v>
      </c>
      <c r="H33" s="85"/>
      <c r="I33" s="86">
        <f>I31</f>
        <v>7.6890125000000004E-2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((NPV(C40,$H$15:$R$15)+(#REF!*(1+#REF!)/(C40-#REF!))/(1+C40)^(2040-2020))/$D$50)/$C$51-1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((NPV(C41,$H$15:$R$15)+(#REF!*(1+#REF!)/(C41-#REF!))/(1+C41)^(2040-2020))/$D$50)/$C$51-1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((NPV(C42,$H$15:$R$15)+(#REF!*(1+#REF!)/(C42-#REF!))/(1+C42)^(2040-2020))/$D$50)/$C$51-1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((NPV(C43,$H$15:$R$15)+(#REF!*(1+#REF!)/(C43-#REF!))/(1+C43)^(2040-2020))/$D$50)/$C$51-1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((NPV(C44,$H$15:$R$15)+(#REF!*(1+#REF!)/(C44-#REF!))/(1+C44)^(2040-2020))/$D$50)/$C$51-1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23</v>
      </c>
      <c r="C46" s="31"/>
      <c r="D46" s="47">
        <f>I33</f>
        <v>7.6890125000000004E-2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5">
        <v>44701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8">
        <f>C50*C51</f>
        <v>4765.7719999999999</v>
      </c>
      <c r="D49" s="51">
        <f>SUM(H19:R19)</f>
        <v>4266.613201312538</v>
      </c>
      <c r="E49" s="49" t="s">
        <v>46</v>
      </c>
    </row>
    <row r="50" spans="1:17" x14ac:dyDescent="0.25">
      <c r="A50" s="48"/>
      <c r="B50" s="49" t="s">
        <v>11</v>
      </c>
      <c r="C50" s="50">
        <v>35.6</v>
      </c>
      <c r="D50" s="50">
        <f>C50</f>
        <v>35.6</v>
      </c>
      <c r="E50" s="49"/>
    </row>
    <row r="51" spans="1:17" x14ac:dyDescent="0.25">
      <c r="A51" s="48"/>
      <c r="B51" s="49" t="s">
        <v>13</v>
      </c>
      <c r="C51" s="49">
        <v>133.87</v>
      </c>
      <c r="D51" s="61">
        <f>D49/(D50)</f>
        <v>119.84868543012746</v>
      </c>
      <c r="E51" s="49" t="s">
        <v>46</v>
      </c>
    </row>
    <row r="52" spans="1:17" x14ac:dyDescent="0.25">
      <c r="A52" s="48"/>
      <c r="B52" s="49" t="s">
        <v>2</v>
      </c>
      <c r="C52" s="49"/>
      <c r="D52" s="62">
        <f>IF(C51/D51-1&gt;0,0,C51/D51-1)*-1</f>
        <v>0</v>
      </c>
      <c r="E52" s="49"/>
    </row>
    <row r="53" spans="1:17" x14ac:dyDescent="0.25">
      <c r="A53" s="48"/>
      <c r="B53" s="49" t="s">
        <v>14</v>
      </c>
      <c r="C53" s="49"/>
      <c r="D53" s="63">
        <f>IF(C51/D51-1&lt;0,0,C51/D51-1)</f>
        <v>0.11699180945999665</v>
      </c>
      <c r="E53" s="49"/>
    </row>
    <row r="54" spans="1:17" x14ac:dyDescent="0.25">
      <c r="A54" s="49"/>
      <c r="B54" s="49"/>
      <c r="C54" s="49"/>
      <c r="D54" s="52"/>
      <c r="E54" s="52"/>
    </row>
    <row r="55" spans="1:17" x14ac:dyDescent="0.25">
      <c r="A55" s="52" t="s">
        <v>22</v>
      </c>
      <c r="B55" s="49"/>
      <c r="C55" s="54">
        <f>D46</f>
        <v>7.6890125000000004E-2</v>
      </c>
      <c r="D55" s="53"/>
      <c r="E55" s="49"/>
      <c r="J55" s="77"/>
    </row>
    <row r="56" spans="1:17" x14ac:dyDescent="0.25">
      <c r="A56" s="52"/>
      <c r="B56" s="49"/>
      <c r="C56" s="54"/>
      <c r="D56" s="53"/>
      <c r="E56" s="49"/>
    </row>
    <row r="57" spans="1:17" hidden="1" x14ac:dyDescent="0.25">
      <c r="A57" s="52" t="s">
        <v>25</v>
      </c>
      <c r="B57" s="81">
        <v>0.108</v>
      </c>
      <c r="C57" s="54"/>
      <c r="D57" s="82">
        <f>SUM(H57:Q57)*1000</f>
        <v>2633737.7306417003</v>
      </c>
      <c r="E57" s="49"/>
      <c r="F57" s="1" t="s">
        <v>26</v>
      </c>
      <c r="H57" s="1">
        <f>H15/(1+$B$57)</f>
        <v>191.0903050541516</v>
      </c>
      <c r="I57" s="1">
        <f>I15/(1+$B$57)^2</f>
        <v>152.72908548267276</v>
      </c>
      <c r="J57" s="1">
        <f>J15/(1+$B$57)^3</f>
        <v>162.65371919634822</v>
      </c>
      <c r="K57" s="1">
        <f>K15/(1+$B$57)^4</f>
        <v>158.16182387333822</v>
      </c>
      <c r="L57" s="1">
        <f>L15/(1+$B$57)^5</f>
        <v>146.62800133817058</v>
      </c>
      <c r="M57" s="1">
        <f>M15/(1+$B$57)^6</f>
        <v>141.59924316953297</v>
      </c>
      <c r="N57" s="1">
        <f>N15/(1+$B$57)^7</f>
        <v>140.57686596253274</v>
      </c>
      <c r="O57" s="1">
        <f>O15/(1+$B$57)^8</f>
        <v>133.21814915221961</v>
      </c>
      <c r="P57" s="1">
        <f>P15/(1+$B$57)^9</f>
        <v>126.24463592944997</v>
      </c>
      <c r="Q57" s="1">
        <f>(R15/(B57-R12))/(1+B57)^10</f>
        <v>1280.8359014832834</v>
      </c>
    </row>
    <row r="58" spans="1:17" ht="16.5" thickBot="1" x14ac:dyDescent="0.3">
      <c r="A58" s="23"/>
      <c r="C58" s="72"/>
      <c r="D58" s="73"/>
    </row>
    <row r="59" spans="1:17" x14ac:dyDescent="0.25">
      <c r="A59" s="64" t="s">
        <v>44</v>
      </c>
      <c r="B59" s="24"/>
      <c r="C59" s="74">
        <v>22</v>
      </c>
      <c r="D59" s="24"/>
      <c r="E59" s="25"/>
    </row>
    <row r="60" spans="1:17" x14ac:dyDescent="0.25">
      <c r="A60" s="26" t="s">
        <v>24</v>
      </c>
      <c r="B60" s="27"/>
      <c r="C60" s="75"/>
      <c r="D60" s="27"/>
      <c r="E60" s="28"/>
    </row>
    <row r="61" spans="1:17" x14ac:dyDescent="0.25">
      <c r="A61" s="26"/>
      <c r="B61" s="27"/>
      <c r="C61" s="75"/>
      <c r="D61" s="27"/>
      <c r="E61" s="28"/>
    </row>
    <row r="62" spans="1:17" x14ac:dyDescent="0.25">
      <c r="A62" s="26" t="s">
        <v>40</v>
      </c>
      <c r="B62" s="27"/>
      <c r="C62" s="75"/>
      <c r="D62" s="27"/>
      <c r="E62" s="65">
        <f>Q17*C59</f>
        <v>194.39287451801545</v>
      </c>
    </row>
    <row r="63" spans="1:17" x14ac:dyDescent="0.25">
      <c r="A63" s="26"/>
      <c r="B63" s="27"/>
      <c r="C63" s="75"/>
      <c r="D63" s="27"/>
      <c r="E63" s="28"/>
    </row>
    <row r="64" spans="1:17" x14ac:dyDescent="0.25">
      <c r="A64" s="26" t="s">
        <v>17</v>
      </c>
      <c r="B64" s="27"/>
      <c r="C64" s="76">
        <v>0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5">
        <f>SUM(H17:R17)*C64</f>
        <v>0</v>
      </c>
    </row>
    <row r="67" spans="1:5" x14ac:dyDescent="0.25">
      <c r="A67" s="26"/>
      <c r="B67" s="27"/>
      <c r="C67" s="27"/>
      <c r="D67" s="27"/>
      <c r="E67" s="66"/>
    </row>
    <row r="68" spans="1:5" x14ac:dyDescent="0.25">
      <c r="A68" s="67" t="s">
        <v>45</v>
      </c>
      <c r="B68" s="27"/>
      <c r="C68" s="27"/>
      <c r="D68" s="27"/>
      <c r="E68" s="68">
        <f>(E66*0.35)*-1</f>
        <v>0</v>
      </c>
    </row>
    <row r="69" spans="1:5" x14ac:dyDescent="0.25">
      <c r="A69" s="26"/>
      <c r="B69" s="27"/>
      <c r="C69" s="46"/>
      <c r="D69" s="46"/>
      <c r="E69" s="69"/>
    </row>
    <row r="70" spans="1:5" x14ac:dyDescent="0.25">
      <c r="A70" s="26" t="s">
        <v>19</v>
      </c>
      <c r="B70" s="27"/>
      <c r="C70" s="27"/>
      <c r="D70" s="27"/>
      <c r="E70" s="65">
        <f>SUM(E62:E68)</f>
        <v>194.39287451801545</v>
      </c>
    </row>
    <row r="71" spans="1:5" x14ac:dyDescent="0.25">
      <c r="A71" s="26"/>
      <c r="B71" s="27"/>
      <c r="C71" s="27"/>
      <c r="D71" s="27"/>
      <c r="E71" s="65"/>
    </row>
    <row r="72" spans="1:5" x14ac:dyDescent="0.25">
      <c r="A72" s="26" t="s">
        <v>20</v>
      </c>
      <c r="B72" s="27"/>
      <c r="C72" s="27"/>
      <c r="D72" s="27"/>
      <c r="E72" s="69">
        <f>E70/C51-1</f>
        <v>0.45210184894311967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70" t="s">
        <v>21</v>
      </c>
      <c r="B74" s="71"/>
      <c r="C74" s="71"/>
      <c r="D74" s="71"/>
      <c r="E74" s="93">
        <f>(E70/C51)^(1/10)-1</f>
        <v>3.800562705538324E-2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47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0">
        <v>2022</v>
      </c>
      <c r="I10" s="60">
        <v>2023</v>
      </c>
      <c r="J10" s="60">
        <v>2024</v>
      </c>
      <c r="K10" s="60">
        <v>2025</v>
      </c>
      <c r="L10" s="60">
        <v>2026</v>
      </c>
      <c r="M10" s="60">
        <v>2027</v>
      </c>
      <c r="N10" s="60">
        <v>2028</v>
      </c>
      <c r="O10" s="60">
        <v>2029</v>
      </c>
      <c r="P10" s="60">
        <v>2030</v>
      </c>
      <c r="Q10" s="60">
        <v>2031</v>
      </c>
      <c r="R10" s="59" t="s">
        <v>43</v>
      </c>
    </row>
    <row r="11" spans="1:28" x14ac:dyDescent="0.25">
      <c r="A11" s="5"/>
      <c r="B11" s="4" t="s">
        <v>4</v>
      </c>
      <c r="C11" s="92"/>
      <c r="D11" s="92"/>
      <c r="E11" s="92"/>
      <c r="F11" s="92">
        <v>925.93</v>
      </c>
      <c r="G11" s="92">
        <v>1142.3800000000001</v>
      </c>
      <c r="H11" s="80">
        <v>1410.58</v>
      </c>
      <c r="I11" s="80">
        <v>1598.53</v>
      </c>
      <c r="J11" s="80">
        <v>1906.56</v>
      </c>
      <c r="K11" s="80">
        <v>2368.7800000000002</v>
      </c>
      <c r="L11" s="80">
        <f t="shared" ref="L11:R11" si="0">K11*(1+L12)</f>
        <v>2795.1604000000002</v>
      </c>
      <c r="M11" s="80">
        <f t="shared" si="0"/>
        <v>3214.4344599999999</v>
      </c>
      <c r="N11" s="80">
        <f t="shared" si="0"/>
        <v>3696.5996289999998</v>
      </c>
      <c r="O11" s="80">
        <f t="shared" si="0"/>
        <v>4140.1915844800005</v>
      </c>
      <c r="P11" s="80">
        <f t="shared" si="0"/>
        <v>4554.2107429280013</v>
      </c>
      <c r="Q11" s="80">
        <f t="shared" si="0"/>
        <v>5009.6318172208021</v>
      </c>
      <c r="R11" s="80">
        <f t="shared" si="0"/>
        <v>5109.8244535652184</v>
      </c>
    </row>
    <row r="12" spans="1:28" x14ac:dyDescent="0.25">
      <c r="A12" s="5"/>
      <c r="B12" s="4" t="s">
        <v>1</v>
      </c>
      <c r="C12" s="98"/>
      <c r="D12" s="98"/>
      <c r="E12" s="98"/>
      <c r="F12" s="98"/>
      <c r="G12" s="98">
        <f t="shared" ref="G12" si="1">G11/F11-1</f>
        <v>0.23376497143412589</v>
      </c>
      <c r="H12" s="91">
        <f t="shared" ref="H12:K12" si="2">H11/G11-1</f>
        <v>0.23477301773490411</v>
      </c>
      <c r="I12" s="97">
        <f t="shared" si="2"/>
        <v>0.13324306313714929</v>
      </c>
      <c r="J12" s="97">
        <f t="shared" si="2"/>
        <v>0.1926957892563792</v>
      </c>
      <c r="K12" s="97">
        <f t="shared" si="2"/>
        <v>0.24243663981201768</v>
      </c>
      <c r="L12" s="79">
        <v>0.18</v>
      </c>
      <c r="M12" s="79">
        <v>0.15</v>
      </c>
      <c r="N12" s="79">
        <v>0.15</v>
      </c>
      <c r="O12" s="79">
        <v>0.12</v>
      </c>
      <c r="P12" s="79">
        <v>0.1</v>
      </c>
      <c r="Q12" s="79">
        <v>0.1</v>
      </c>
      <c r="R12" s="13">
        <v>0.02</v>
      </c>
    </row>
    <row r="13" spans="1:28" ht="15.95" customHeight="1" x14ac:dyDescent="0.25">
      <c r="A13" s="5"/>
      <c r="B13" s="4" t="s">
        <v>15</v>
      </c>
      <c r="C13" s="98"/>
      <c r="D13" s="98"/>
      <c r="E13" s="98"/>
      <c r="F13" s="98">
        <v>0.1804</v>
      </c>
      <c r="G13" s="98">
        <v>0.1739</v>
      </c>
      <c r="H13" s="79">
        <v>0.1721</v>
      </c>
      <c r="I13" s="79">
        <v>0.1701</v>
      </c>
      <c r="J13" s="79">
        <v>0.17399999999999999</v>
      </c>
      <c r="K13" s="96">
        <v>0.17330000000000001</v>
      </c>
      <c r="L13" s="79">
        <v>0.17499999999999999</v>
      </c>
      <c r="M13" s="79">
        <v>0.17499999999999999</v>
      </c>
      <c r="N13" s="79">
        <v>0.17499999999999999</v>
      </c>
      <c r="O13" s="79">
        <v>0.17499999999999999</v>
      </c>
      <c r="P13" s="79">
        <v>0.18</v>
      </c>
      <c r="Q13" s="79">
        <v>0.185</v>
      </c>
      <c r="R13" s="79">
        <v>0.185</v>
      </c>
    </row>
    <row r="14" spans="1:28" ht="17.100000000000001" customHeight="1" x14ac:dyDescent="0.25">
      <c r="A14" s="5"/>
      <c r="B14" s="4" t="s">
        <v>16</v>
      </c>
      <c r="C14" s="92"/>
      <c r="D14" s="92"/>
      <c r="E14" s="92"/>
      <c r="F14" s="92">
        <f t="shared" ref="F14:G14" si="3">F11*F13</f>
        <v>167.03777199999999</v>
      </c>
      <c r="G14" s="92">
        <f t="shared" si="3"/>
        <v>198.65988200000001</v>
      </c>
      <c r="H14" s="80">
        <f>H11*H13</f>
        <v>242.760818</v>
      </c>
      <c r="I14" s="80">
        <f t="shared" ref="I14:R14" si="4">I11*I13</f>
        <v>271.90995299999997</v>
      </c>
      <c r="J14" s="80">
        <f t="shared" si="4"/>
        <v>331.74143999999995</v>
      </c>
      <c r="K14" s="80">
        <f t="shared" si="4"/>
        <v>410.50957400000004</v>
      </c>
      <c r="L14" s="80">
        <f t="shared" si="4"/>
        <v>489.15307000000001</v>
      </c>
      <c r="M14" s="80">
        <f t="shared" si="4"/>
        <v>562.52603049999993</v>
      </c>
      <c r="N14" s="80">
        <f t="shared" si="4"/>
        <v>646.90493507499991</v>
      </c>
      <c r="O14" s="80">
        <f t="shared" si="4"/>
        <v>724.533527284</v>
      </c>
      <c r="P14" s="80">
        <f t="shared" si="4"/>
        <v>819.75793372704015</v>
      </c>
      <c r="Q14" s="80">
        <f t="shared" si="4"/>
        <v>926.78188618584841</v>
      </c>
      <c r="R14" s="80">
        <f t="shared" si="4"/>
        <v>945.31752390956535</v>
      </c>
    </row>
    <row r="15" spans="1:28" x14ac:dyDescent="0.25">
      <c r="A15" s="12">
        <v>0.2</v>
      </c>
      <c r="B15" s="4" t="s">
        <v>42</v>
      </c>
      <c r="C15" s="92"/>
      <c r="D15" s="92"/>
      <c r="E15" s="92"/>
      <c r="F15" s="92">
        <f>F11*0.1545</f>
        <v>143.056185</v>
      </c>
      <c r="G15" s="92">
        <f>G11*15.88</f>
        <v>18140.994400000003</v>
      </c>
      <c r="H15" s="80">
        <f>H11*0.1501</f>
        <v>211.728058</v>
      </c>
      <c r="I15" s="80">
        <f>I11*0.1428</f>
        <v>228.27008400000003</v>
      </c>
      <c r="J15" s="80">
        <f>J11*0.1409</f>
        <v>268.63430399999999</v>
      </c>
      <c r="K15" s="80">
        <f>K11*0.1388</f>
        <v>328.78666400000003</v>
      </c>
      <c r="L15" s="80">
        <f t="shared" ref="L15:R15" si="5">L14*(1-$A$15)</f>
        <v>391.32245600000005</v>
      </c>
      <c r="M15" s="80">
        <f t="shared" si="5"/>
        <v>450.02082439999998</v>
      </c>
      <c r="N15" s="80">
        <f t="shared" si="5"/>
        <v>517.52394805999995</v>
      </c>
      <c r="O15" s="80">
        <f t="shared" si="5"/>
        <v>579.62682182720005</v>
      </c>
      <c r="P15" s="80">
        <f t="shared" si="5"/>
        <v>655.80634698163215</v>
      </c>
      <c r="Q15" s="80">
        <f t="shared" si="5"/>
        <v>741.42550894867873</v>
      </c>
      <c r="R15" s="80">
        <f t="shared" si="5"/>
        <v>756.25401912765233</v>
      </c>
    </row>
    <row r="16" spans="1:28" ht="32.25" hidden="1" thickBot="1" x14ac:dyDescent="0.3">
      <c r="A16" s="14" t="s">
        <v>6</v>
      </c>
      <c r="B16" s="15"/>
      <c r="C16" s="16" t="e">
        <f t="shared" ref="C16:K16" si="6">C15/C14</f>
        <v>#DIV/0!</v>
      </c>
      <c r="D16" s="16" t="e">
        <f t="shared" si="6"/>
        <v>#DIV/0!</v>
      </c>
      <c r="E16" s="16" t="e">
        <f t="shared" si="6"/>
        <v>#DIV/0!</v>
      </c>
      <c r="F16" s="16">
        <f t="shared" si="6"/>
        <v>0.85643015521064303</v>
      </c>
      <c r="G16" s="16">
        <f t="shared" si="6"/>
        <v>91.316848763657291</v>
      </c>
      <c r="H16" s="16">
        <f t="shared" si="6"/>
        <v>0.8721673445671122</v>
      </c>
      <c r="I16" s="16">
        <f t="shared" si="6"/>
        <v>0.83950617283950635</v>
      </c>
      <c r="J16" s="16">
        <f t="shared" si="6"/>
        <v>0.80977011494252882</v>
      </c>
      <c r="K16" s="16">
        <f t="shared" si="6"/>
        <v>0.80092325447201385</v>
      </c>
    </row>
    <row r="17" spans="1:18" x14ac:dyDescent="0.25">
      <c r="A17" s="2" t="s">
        <v>39</v>
      </c>
      <c r="C17" s="92"/>
      <c r="D17" s="92"/>
      <c r="E17" s="92"/>
      <c r="F17" s="92"/>
      <c r="G17" s="92"/>
      <c r="H17" s="80">
        <f>H15/H18</f>
        <v>5.9474173595505615</v>
      </c>
      <c r="I17" s="80">
        <f t="shared" ref="I17:Q17" si="7">I15/I18</f>
        <v>6.3801801106825433</v>
      </c>
      <c r="J17" s="80">
        <f t="shared" si="7"/>
        <v>7.471010535115802</v>
      </c>
      <c r="K17" s="80">
        <f t="shared" si="7"/>
        <v>9.0984206212699821</v>
      </c>
      <c r="L17" s="80">
        <f t="shared" si="7"/>
        <v>10.839795751326262</v>
      </c>
      <c r="M17" s="80">
        <f t="shared" si="7"/>
        <v>12.52840714977407</v>
      </c>
      <c r="N17" s="80">
        <f t="shared" si="7"/>
        <v>14.480068565065508</v>
      </c>
      <c r="O17" s="80">
        <f t="shared" si="7"/>
        <v>16.299172656154141</v>
      </c>
      <c r="P17" s="80">
        <f t="shared" si="7"/>
        <v>18.53401973248253</v>
      </c>
      <c r="Q17" s="80">
        <f t="shared" si="7"/>
        <v>21.059034146064747</v>
      </c>
      <c r="R17" s="80"/>
    </row>
    <row r="18" spans="1:18" ht="32.25" thickBot="1" x14ac:dyDescent="0.3">
      <c r="A18" s="2" t="s">
        <v>41</v>
      </c>
      <c r="C18" s="92"/>
      <c r="D18" s="92"/>
      <c r="E18" s="92"/>
      <c r="F18" s="92"/>
      <c r="G18" s="92"/>
      <c r="H18" s="80">
        <f>D50</f>
        <v>35.6</v>
      </c>
      <c r="I18" s="80">
        <f>H18*1.005</f>
        <v>35.777999999999999</v>
      </c>
      <c r="J18" s="80">
        <f t="shared" ref="J18:K18" si="8">I18*1.005</f>
        <v>35.956889999999994</v>
      </c>
      <c r="K18" s="80">
        <f t="shared" si="8"/>
        <v>36.136674449999994</v>
      </c>
      <c r="L18" s="80">
        <f t="shared" ref="L18" si="9">K18*0.999</f>
        <v>36.100537775549995</v>
      </c>
      <c r="M18" s="80">
        <f>L18*0.995</f>
        <v>35.920035086672243</v>
      </c>
      <c r="N18" s="80">
        <f t="shared" ref="N18:Q18" si="10">M18*0.995</f>
        <v>35.740434911238879</v>
      </c>
      <c r="O18" s="80">
        <f t="shared" si="10"/>
        <v>35.561732736682686</v>
      </c>
      <c r="P18" s="80">
        <f t="shared" si="10"/>
        <v>35.383924072999271</v>
      </c>
      <c r="Q18" s="80">
        <f t="shared" si="10"/>
        <v>35.207004452634273</v>
      </c>
      <c r="R18" s="80"/>
    </row>
    <row r="19" spans="1:18" ht="16.5" thickBot="1" x14ac:dyDescent="0.3">
      <c r="A19" s="2"/>
      <c r="F19" s="55" t="s">
        <v>12</v>
      </c>
      <c r="G19" s="56"/>
      <c r="H19" s="57">
        <f>H15/(1+$C$55)</f>
        <v>196.61064122024518</v>
      </c>
      <c r="I19" s="57">
        <f>I15/(1+$C$55)^2</f>
        <v>196.83676080819876</v>
      </c>
      <c r="J19" s="57">
        <f>J15/(1+$C$55)^3</f>
        <v>215.10340577404523</v>
      </c>
      <c r="K19" s="57">
        <f>K15/(1+$C$55)^4</f>
        <v>244.47171297387536</v>
      </c>
      <c r="L19" s="57">
        <f>L15/(1+$C$55)^5</f>
        <v>270.1953047430589</v>
      </c>
      <c r="M19" s="57">
        <f>M15/(1+$C$55)^6</f>
        <v>288.53881490882617</v>
      </c>
      <c r="N19" s="57">
        <f>N15/(1+$C$55)^7</f>
        <v>308.12766264817412</v>
      </c>
      <c r="O19" s="57">
        <f>O15/(1+$C$55)^8</f>
        <v>320.46257473663343</v>
      </c>
      <c r="P19" s="57">
        <f>P15/(1+$C$55)^9</f>
        <v>336.69220723013967</v>
      </c>
      <c r="Q19" s="57">
        <f>Q15/(1+$C$55)^10</f>
        <v>353.47082915844999</v>
      </c>
      <c r="R19" s="58">
        <f>(R15/(C55-R12))/(1+C55)^10</f>
        <v>6337.483803061059</v>
      </c>
    </row>
    <row r="20" spans="1:18" x14ac:dyDescent="0.25">
      <c r="A20" s="2"/>
      <c r="C20" s="83"/>
      <c r="D20" s="94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27</v>
      </c>
      <c r="B23" s="35"/>
      <c r="C23" s="35"/>
      <c r="D23" s="36"/>
      <c r="E23" s="24"/>
      <c r="F23" s="35"/>
      <c r="G23" s="64" t="s">
        <v>28</v>
      </c>
      <c r="H23" s="24"/>
      <c r="I23" s="87">
        <v>1.4999999999999999E-2</v>
      </c>
      <c r="J23" s="25" t="s">
        <v>29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8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30</v>
      </c>
      <c r="H25" s="27"/>
      <c r="I25" s="89">
        <f>(I27-I23)*I29</f>
        <v>6.1890124999999997E-2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8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31</v>
      </c>
      <c r="H27" s="27"/>
      <c r="I27" s="90">
        <v>7.0000000000000007E-2</v>
      </c>
      <c r="J27" s="28" t="s">
        <v>32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8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38</v>
      </c>
      <c r="H29" s="27"/>
      <c r="I29" s="99">
        <f>0.95*1.03*1.15</f>
        <v>1.1252749999999998</v>
      </c>
      <c r="J29" s="28" t="s">
        <v>33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8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34</v>
      </c>
      <c r="H31" s="27"/>
      <c r="I31" s="90">
        <f>I23+(I27-I23)*I29</f>
        <v>7.6890125000000004E-2</v>
      </c>
      <c r="J31" s="28" t="s">
        <v>35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4" t="s">
        <v>37</v>
      </c>
      <c r="H33" s="85"/>
      <c r="I33" s="86">
        <f>I31</f>
        <v>7.6890125000000004E-2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((NPV(C40,$H$15:$R$15)+(#REF!*(1+#REF!)/(C40-#REF!))/(1+C40)^(2040-2020))/$D$50)/$C$51-1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((NPV(C41,$H$15:$R$15)+(#REF!*(1+#REF!)/(C41-#REF!))/(1+C41)^(2040-2020))/$D$50)/$C$51-1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((NPV(C42,$H$15:$R$15)+(#REF!*(1+#REF!)/(C42-#REF!))/(1+C42)^(2040-2020))/$D$50)/$C$51-1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((NPV(C43,$H$15:$R$15)+(#REF!*(1+#REF!)/(C43-#REF!))/(1+C43)^(2040-2020))/$D$50)/$C$51-1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((NPV(C44,$H$15:$R$15)+(#REF!*(1+#REF!)/(C44-#REF!))/(1+C44)^(2040-2020))/$D$50)/$C$51-1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23</v>
      </c>
      <c r="C46" s="31"/>
      <c r="D46" s="47">
        <f>I33</f>
        <v>7.6890125000000004E-2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5">
        <v>44701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8">
        <f>C50*C51</f>
        <v>4765.7719999999999</v>
      </c>
      <c r="D49" s="51">
        <f>SUM(H19:R19)</f>
        <v>9067.9937172627069</v>
      </c>
      <c r="E49" s="49" t="s">
        <v>46</v>
      </c>
    </row>
    <row r="50" spans="1:17" x14ac:dyDescent="0.25">
      <c r="A50" s="48"/>
      <c r="B50" s="49" t="s">
        <v>11</v>
      </c>
      <c r="C50" s="50">
        <v>35.6</v>
      </c>
      <c r="D50" s="50">
        <f>C50</f>
        <v>35.6</v>
      </c>
      <c r="E50" s="49"/>
    </row>
    <row r="51" spans="1:17" x14ac:dyDescent="0.25">
      <c r="A51" s="48"/>
      <c r="B51" s="49" t="s">
        <v>13</v>
      </c>
      <c r="C51" s="49">
        <v>133.87</v>
      </c>
      <c r="D51" s="61">
        <f>D49/(D50)</f>
        <v>254.71892464221085</v>
      </c>
      <c r="E51" s="49" t="s">
        <v>46</v>
      </c>
    </row>
    <row r="52" spans="1:17" x14ac:dyDescent="0.25">
      <c r="A52" s="48"/>
      <c r="B52" s="49" t="s">
        <v>2</v>
      </c>
      <c r="C52" s="49"/>
      <c r="D52" s="62">
        <f>IF(C51/D51-1&gt;0,0,C51/D51-1)*-1</f>
        <v>0.47444030635713641</v>
      </c>
      <c r="E52" s="49"/>
    </row>
    <row r="53" spans="1:17" x14ac:dyDescent="0.25">
      <c r="A53" s="48"/>
      <c r="B53" s="49" t="s">
        <v>14</v>
      </c>
      <c r="C53" s="49"/>
      <c r="D53" s="63">
        <f>IF(C51/D51-1&lt;0,0,C51/D51-1)</f>
        <v>0</v>
      </c>
      <c r="E53" s="49"/>
    </row>
    <row r="54" spans="1:17" x14ac:dyDescent="0.25">
      <c r="A54" s="49"/>
      <c r="B54" s="49"/>
      <c r="C54" s="49"/>
      <c r="D54" s="52"/>
      <c r="E54" s="52"/>
    </row>
    <row r="55" spans="1:17" x14ac:dyDescent="0.25">
      <c r="A55" s="52" t="s">
        <v>22</v>
      </c>
      <c r="B55" s="49"/>
      <c r="C55" s="54">
        <f>D46</f>
        <v>7.6890125000000004E-2</v>
      </c>
      <c r="D55" s="53"/>
      <c r="E55" s="49"/>
      <c r="J55" s="77"/>
    </row>
    <row r="56" spans="1:17" x14ac:dyDescent="0.25">
      <c r="A56" s="52"/>
      <c r="B56" s="49"/>
      <c r="C56" s="54"/>
      <c r="D56" s="53"/>
      <c r="E56" s="49"/>
    </row>
    <row r="57" spans="1:17" hidden="1" x14ac:dyDescent="0.25">
      <c r="A57" s="52" t="s">
        <v>25</v>
      </c>
      <c r="B57" s="81">
        <v>0.108</v>
      </c>
      <c r="C57" s="54"/>
      <c r="D57" s="82">
        <f>SUM(H57:Q57)*1000</f>
        <v>5120071.0429404769</v>
      </c>
      <c r="E57" s="49"/>
      <c r="F57" s="1" t="s">
        <v>26</v>
      </c>
      <c r="H57" s="1">
        <f>H15/(1+$B$57)</f>
        <v>191.0903050541516</v>
      </c>
      <c r="I57" s="1">
        <f>I15/(1+$B$57)^2</f>
        <v>185.93856625265542</v>
      </c>
      <c r="J57" s="1">
        <f>J15/(1+$B$57)^3</f>
        <v>197.48867186134439</v>
      </c>
      <c r="K57" s="1">
        <f>K15/(1+$B$57)^4</f>
        <v>218.14996725105584</v>
      </c>
      <c r="L57" s="1">
        <f>L15/(1+$B$57)^5</f>
        <v>234.33435760537995</v>
      </c>
      <c r="M57" s="1">
        <f>M15/(1+$B$57)^6</f>
        <v>243.21706791172099</v>
      </c>
      <c r="N57" s="1">
        <f>N15/(1+$B$57)^7</f>
        <v>252.436487453501</v>
      </c>
      <c r="O57" s="1">
        <f>O15/(1+$B$57)^8</f>
        <v>255.1704566316977</v>
      </c>
      <c r="P57" s="1">
        <f>P15/(1+$B$57)^9</f>
        <v>260.56601553933029</v>
      </c>
      <c r="Q57" s="1">
        <f>(R15/(B57-R12))/(1+B57)^10</f>
        <v>3081.6791473796402</v>
      </c>
    </row>
    <row r="58" spans="1:17" ht="16.5" thickBot="1" x14ac:dyDescent="0.3">
      <c r="A58" s="23"/>
      <c r="C58" s="72"/>
      <c r="D58" s="73"/>
    </row>
    <row r="59" spans="1:17" x14ac:dyDescent="0.25">
      <c r="A59" s="64" t="s">
        <v>44</v>
      </c>
      <c r="B59" s="24"/>
      <c r="C59" s="74">
        <v>25</v>
      </c>
      <c r="D59" s="24"/>
      <c r="E59" s="25"/>
    </row>
    <row r="60" spans="1:17" x14ac:dyDescent="0.25">
      <c r="A60" s="26" t="s">
        <v>24</v>
      </c>
      <c r="B60" s="27"/>
      <c r="C60" s="75"/>
      <c r="D60" s="27"/>
      <c r="E60" s="28"/>
    </row>
    <row r="61" spans="1:17" x14ac:dyDescent="0.25">
      <c r="A61" s="26"/>
      <c r="B61" s="27"/>
      <c r="C61" s="75"/>
      <c r="D61" s="27"/>
      <c r="E61" s="28"/>
    </row>
    <row r="62" spans="1:17" x14ac:dyDescent="0.25">
      <c r="A62" s="26" t="s">
        <v>40</v>
      </c>
      <c r="B62" s="27"/>
      <c r="C62" s="75"/>
      <c r="D62" s="27"/>
      <c r="E62" s="65">
        <f>Q17*C59</f>
        <v>526.47585365161865</v>
      </c>
    </row>
    <row r="63" spans="1:17" x14ac:dyDescent="0.25">
      <c r="A63" s="26"/>
      <c r="B63" s="27"/>
      <c r="C63" s="75"/>
      <c r="D63" s="27"/>
      <c r="E63" s="28"/>
    </row>
    <row r="64" spans="1:17" x14ac:dyDescent="0.25">
      <c r="A64" s="26" t="s">
        <v>17</v>
      </c>
      <c r="B64" s="27"/>
      <c r="C64" s="76">
        <v>0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5">
        <f>SUM(H17:R17)*C64</f>
        <v>0</v>
      </c>
    </row>
    <row r="67" spans="1:5" x14ac:dyDescent="0.25">
      <c r="A67" s="26"/>
      <c r="B67" s="27"/>
      <c r="C67" s="27"/>
      <c r="D67" s="27"/>
      <c r="E67" s="66"/>
    </row>
    <row r="68" spans="1:5" x14ac:dyDescent="0.25">
      <c r="A68" s="67" t="s">
        <v>45</v>
      </c>
      <c r="B68" s="27"/>
      <c r="C68" s="27"/>
      <c r="D68" s="27"/>
      <c r="E68" s="68">
        <f>(E66*0.35)*-1</f>
        <v>0</v>
      </c>
    </row>
    <row r="69" spans="1:5" x14ac:dyDescent="0.25">
      <c r="A69" s="26"/>
      <c r="B69" s="27"/>
      <c r="C69" s="46"/>
      <c r="D69" s="46"/>
      <c r="E69" s="69"/>
    </row>
    <row r="70" spans="1:5" x14ac:dyDescent="0.25">
      <c r="A70" s="26" t="s">
        <v>19</v>
      </c>
      <c r="B70" s="27"/>
      <c r="C70" s="27"/>
      <c r="D70" s="27"/>
      <c r="E70" s="65">
        <f>SUM(E62:E68)</f>
        <v>526.47585365161865</v>
      </c>
    </row>
    <row r="71" spans="1:5" x14ac:dyDescent="0.25">
      <c r="A71" s="26"/>
      <c r="B71" s="27"/>
      <c r="C71" s="27"/>
      <c r="D71" s="27"/>
      <c r="E71" s="65"/>
    </row>
    <row r="72" spans="1:5" x14ac:dyDescent="0.25">
      <c r="A72" s="26" t="s">
        <v>20</v>
      </c>
      <c r="B72" s="27"/>
      <c r="C72" s="27"/>
      <c r="D72" s="27"/>
      <c r="E72" s="69">
        <f>E70/C51-1</f>
        <v>2.9327396253949249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70" t="s">
        <v>21</v>
      </c>
      <c r="B74" s="71"/>
      <c r="C74" s="71"/>
      <c r="D74" s="71"/>
      <c r="E74" s="93">
        <f>(E70/C51)^(1/10)-1</f>
        <v>0.14675203476781173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2022-05-20T20:18:28Z</dcterms:modified>
</cp:coreProperties>
</file>