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wnloads\"/>
    </mc:Choice>
  </mc:AlternateContent>
  <xr:revisionPtr revIDLastSave="0" documentId="13_ncr:1_{E4187ADB-F397-4431-9E8B-900E4AD389F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4" l="1"/>
  <c r="L11" i="32" l="1"/>
  <c r="M11" i="34" l="1"/>
  <c r="M14" i="34" s="1"/>
  <c r="M15" i="34" s="1"/>
  <c r="H18" i="34"/>
  <c r="I18" i="34" s="1"/>
  <c r="F16" i="34"/>
  <c r="D16" i="34"/>
  <c r="C16" i="34"/>
  <c r="L14" i="34"/>
  <c r="K14" i="34"/>
  <c r="K16" i="34" s="1"/>
  <c r="J14" i="34"/>
  <c r="J16" i="34" s="1"/>
  <c r="I14" i="34"/>
  <c r="I16" i="34" s="1"/>
  <c r="H14" i="34"/>
  <c r="H16" i="34" s="1"/>
  <c r="G14" i="34"/>
  <c r="G16" i="34" s="1"/>
  <c r="F14" i="34"/>
  <c r="E14" i="34"/>
  <c r="E16" i="34" s="1"/>
  <c r="K12" i="34"/>
  <c r="J12" i="34"/>
  <c r="I12" i="34"/>
  <c r="H12" i="34"/>
  <c r="G12" i="34"/>
  <c r="F12" i="34"/>
  <c r="H18" i="32"/>
  <c r="I18" i="32" s="1"/>
  <c r="C49" i="32"/>
  <c r="H17" i="34" l="1"/>
  <c r="J18" i="34"/>
  <c r="I17" i="34"/>
  <c r="N11" i="34"/>
  <c r="J17" i="34" l="1"/>
  <c r="K18" i="34"/>
  <c r="N14" i="34"/>
  <c r="N15" i="34" s="1"/>
  <c r="O11" i="34"/>
  <c r="P11" i="34" l="1"/>
  <c r="O14" i="34"/>
  <c r="O15" i="34" s="1"/>
  <c r="L18" i="34"/>
  <c r="K17" i="34"/>
  <c r="L17" i="34" l="1"/>
  <c r="M18" i="34"/>
  <c r="P14" i="34"/>
  <c r="P15" i="34" s="1"/>
  <c r="Q11" i="34"/>
  <c r="R11" i="34" l="1"/>
  <c r="R14" i="34" s="1"/>
  <c r="R15" i="34" s="1"/>
  <c r="Q14" i="34"/>
  <c r="Q15" i="34" s="1"/>
  <c r="N18" i="34"/>
  <c r="M17" i="34"/>
  <c r="O18" i="34" l="1"/>
  <c r="N17" i="34"/>
  <c r="P18" i="34" l="1"/>
  <c r="O17" i="34"/>
  <c r="Q18" i="34" l="1"/>
  <c r="Q17" i="34" s="1"/>
  <c r="P17" i="34"/>
  <c r="H17" i="32" l="1"/>
  <c r="F14" i="32" l="1"/>
  <c r="G14" i="32"/>
  <c r="E14" i="32"/>
  <c r="C49" i="34" l="1"/>
  <c r="I31" i="34"/>
  <c r="I33" i="34" s="1"/>
  <c r="D46" i="34" s="1"/>
  <c r="C55" i="34" s="1"/>
  <c r="I25" i="34"/>
  <c r="J18" i="32"/>
  <c r="K18" i="32" s="1"/>
  <c r="L18" i="32" s="1"/>
  <c r="M18" i="32" s="1"/>
  <c r="N18" i="32" s="1"/>
  <c r="O18" i="32" s="1"/>
  <c r="P18" i="32" s="1"/>
  <c r="Q18" i="32" s="1"/>
  <c r="I57" i="32"/>
  <c r="K12" i="32"/>
  <c r="I31" i="32"/>
  <c r="I33" i="32" s="1"/>
  <c r="D46" i="32" s="1"/>
  <c r="C55" i="32" s="1"/>
  <c r="I25" i="32"/>
  <c r="G16" i="32"/>
  <c r="F16" i="32"/>
  <c r="E16" i="32"/>
  <c r="D16" i="32"/>
  <c r="C16" i="32"/>
  <c r="J14" i="32"/>
  <c r="I14" i="32"/>
  <c r="H14" i="32"/>
  <c r="J12" i="32"/>
  <c r="I12" i="32"/>
  <c r="H12" i="32"/>
  <c r="G12" i="32"/>
  <c r="F12" i="32"/>
  <c r="I19" i="34" l="1"/>
  <c r="L19" i="34"/>
  <c r="H19" i="34"/>
  <c r="K19" i="34"/>
  <c r="J19" i="34"/>
  <c r="M19" i="34"/>
  <c r="N19" i="34"/>
  <c r="O19" i="34"/>
  <c r="P19" i="34"/>
  <c r="R19" i="34"/>
  <c r="Q19" i="34"/>
  <c r="K57" i="34"/>
  <c r="H57" i="34"/>
  <c r="I57" i="34"/>
  <c r="J57" i="34"/>
  <c r="I16" i="32"/>
  <c r="I17" i="32"/>
  <c r="J17" i="32"/>
  <c r="J16" i="32"/>
  <c r="L14" i="32"/>
  <c r="M11" i="32"/>
  <c r="H19" i="32"/>
  <c r="I19" i="32"/>
  <c r="J19" i="32"/>
  <c r="H57" i="32"/>
  <c r="K14" i="32"/>
  <c r="H16" i="32"/>
  <c r="J57" i="32"/>
  <c r="L57" i="34" l="1"/>
  <c r="M57" i="34"/>
  <c r="K57" i="32"/>
  <c r="K19" i="32"/>
  <c r="K17" i="32"/>
  <c r="K16" i="32"/>
  <c r="M14" i="32"/>
  <c r="M15" i="32" s="1"/>
  <c r="N11" i="32"/>
  <c r="L19" i="32"/>
  <c r="L17" i="32"/>
  <c r="L57" i="32"/>
  <c r="N57" i="34" l="1"/>
  <c r="M19" i="32"/>
  <c r="M17" i="32"/>
  <c r="M57" i="32"/>
  <c r="N14" i="32"/>
  <c r="N15" i="32" s="1"/>
  <c r="O11" i="32"/>
  <c r="O57" i="34" l="1"/>
  <c r="O14" i="32"/>
  <c r="O15" i="32" s="1"/>
  <c r="P11" i="32"/>
  <c r="N19" i="32"/>
  <c r="N17" i="32"/>
  <c r="N57" i="32"/>
  <c r="P57" i="34" l="1"/>
  <c r="D43" i="34"/>
  <c r="Q11" i="32"/>
  <c r="P14" i="32"/>
  <c r="P15" i="32" s="1"/>
  <c r="O17" i="32"/>
  <c r="O57" i="32"/>
  <c r="O19" i="32"/>
  <c r="Q57" i="34" l="1"/>
  <c r="D57" i="34" s="1"/>
  <c r="D40" i="34"/>
  <c r="D42" i="34"/>
  <c r="D41" i="34"/>
  <c r="D44" i="34"/>
  <c r="P17" i="32"/>
  <c r="P19" i="32"/>
  <c r="P57" i="32"/>
  <c r="Q14" i="32"/>
  <c r="R11" i="32"/>
  <c r="R14" i="32" s="1"/>
  <c r="R15" i="32" s="1"/>
  <c r="R19" i="32" s="1"/>
  <c r="E62" i="34" l="1"/>
  <c r="E66" i="34"/>
  <c r="E68" i="34" s="1"/>
  <c r="D49" i="34"/>
  <c r="D51" i="34" s="1"/>
  <c r="Q15" i="32"/>
  <c r="D43" i="32" s="1"/>
  <c r="Q57" i="32"/>
  <c r="D57" i="32" s="1"/>
  <c r="D42" i="32"/>
  <c r="D40" i="32" l="1"/>
  <c r="D44" i="32"/>
  <c r="D41" i="32"/>
  <c r="Q19" i="32"/>
  <c r="D49" i="32" s="1"/>
  <c r="D51" i="32" s="1"/>
  <c r="Q17" i="32"/>
  <c r="E62" i="32" s="1"/>
  <c r="D53" i="34"/>
  <c r="D52" i="34"/>
  <c r="E70" i="34"/>
  <c r="E66" i="32" l="1"/>
  <c r="E68" i="32" s="1"/>
  <c r="E74" i="34"/>
  <c r="E72" i="34"/>
  <c r="D53" i="32"/>
  <c r="D52" i="32"/>
  <c r="E70" i="32"/>
  <c r="E74" i="32" l="1"/>
  <c r="E72" i="32"/>
</calcChain>
</file>

<file path=xl/sharedStrings.xml><?xml version="1.0" encoding="utf-8"?>
<sst xmlns="http://schemas.openxmlformats.org/spreadsheetml/2006/main" count="98" uniqueCount="48">
  <si>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</si>
  <si>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</si>
  <si>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</si>
  <si>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</si>
  <si>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</si>
  <si>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</si>
  <si>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</si>
  <si>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</si>
  <si>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</si>
  <si>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</si>
  <si>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</si>
  <si>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</si>
  <si>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</si>
  <si>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</si>
  <si>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</si>
  <si>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</si>
  <si>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</si>
  <si>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</si>
  <si>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</si>
  <si>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</si>
  <si>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</si>
  <si>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</si>
  <si>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</si>
  <si>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</si>
  <si>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</si>
  <si>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</si>
  <si>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</si>
  <si>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</si>
  <si>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</si>
  <si>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</si>
  <si>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</si>
  <si>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</si>
  <si>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</si>
  <si>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</si>
  <si>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</si>
  <si>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</si>
  <si>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</si>
  <si>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</si>
  <si>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</si>
  <si>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</si>
  <si>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</si>
  <si>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</si>
  <si>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</si>
  <si>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</si>
  <si>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Quellensteuer USA (30 %)</t>
  </si>
  <si>
    <t xml:space="preserve"> Annahmen für Nvidia</t>
  </si>
  <si>
    <t>USD</t>
  </si>
  <si>
    <t>2033ff.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</si>
</sst>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9" fontId="3" fillId="6" borderId="0" xfId="1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9" fillId="7" borderId="0" xfId="1" applyFont="1" applyFill="1"/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0" fontId="0" fillId="11" borderId="9" xfId="0" applyFill="1" applyBorder="1"/>
    <xf numFmtId="0" fontId="0" fillId="11" borderId="10" xfId="0" applyFill="1" applyBorder="1"/>
    <xf numFmtId="165" fontId="0" fillId="11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48" zoomScaleNormal="100" workbookViewId="0">
      <selection activeCell="C52" sqref="C52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3" width="16" style="1" bestFit="1" customWidth="1"/>
    <col min="4" max="4" width="16.08203125" style="1" customWidth="1"/>
    <col min="5" max="5" width="14.08203125" style="1" customWidth="1"/>
    <col min="6" max="6" width="13.58203125" style="1" customWidth="1"/>
    <col min="7" max="7" width="14.83203125" style="1" customWidth="1"/>
    <col min="8" max="8" width="12.08203125" style="1" customWidth="1"/>
    <col min="9" max="9" width="12.33203125" style="1" bestFit="1" customWidth="1"/>
    <col min="10" max="16" width="13.33203125" style="1" bestFit="1" customWidth="1"/>
    <col min="17" max="18" width="10.58203125" style="1" customWidth="1"/>
    <col min="19" max="16384" width="10.58203125" style="1"/>
  </cols>
  <sheetData>
    <row r="2" spans="1:28" ht="26" x14ac:dyDescent="0.6">
      <c r="B2" s="33" t="s">
        <v>10</v>
      </c>
    </row>
    <row r="4" spans="1:28" x14ac:dyDescent="0.35">
      <c r="B4" s="23" t="s">
        <v>45</v>
      </c>
      <c r="L4" s="27"/>
      <c r="M4" s="27"/>
      <c r="N4" s="27"/>
      <c r="O4" s="27"/>
      <c r="P4" s="27"/>
      <c r="Q4" s="27"/>
      <c r="R4" s="27"/>
      <c r="S4" s="27"/>
    </row>
    <row r="5" spans="1:28" x14ac:dyDescent="0.35">
      <c r="L5" s="27"/>
      <c r="M5" s="27"/>
      <c r="N5" s="27"/>
      <c r="O5" s="27"/>
      <c r="P5" s="27"/>
      <c r="Q5" s="27"/>
      <c r="R5" s="27"/>
      <c r="S5" s="27"/>
    </row>
    <row r="6" spans="1:28" x14ac:dyDescent="0.3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3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11">
        <v>2022</v>
      </c>
      <c r="H10" s="59">
        <v>2023</v>
      </c>
      <c r="I10" s="59">
        <v>2024</v>
      </c>
      <c r="J10" s="59">
        <v>2025</v>
      </c>
      <c r="K10" s="59">
        <v>2026</v>
      </c>
      <c r="L10" s="59">
        <v>2027</v>
      </c>
      <c r="M10" s="59">
        <v>2028</v>
      </c>
      <c r="N10" s="59">
        <v>2029</v>
      </c>
      <c r="O10" s="59">
        <v>2030</v>
      </c>
      <c r="P10" s="59">
        <v>2031</v>
      </c>
      <c r="Q10" s="59">
        <v>2032</v>
      </c>
      <c r="R10" s="59" t="s">
        <v>47</v>
      </c>
    </row>
    <row r="11" spans="1:28" x14ac:dyDescent="0.35">
      <c r="A11" s="5"/>
      <c r="B11" s="4" t="s">
        <v>4</v>
      </c>
      <c r="C11" s="91"/>
      <c r="D11" s="91"/>
      <c r="E11" s="91">
        <v>10918</v>
      </c>
      <c r="F11" s="91">
        <v>16675</v>
      </c>
      <c r="G11" s="91">
        <v>26914</v>
      </c>
      <c r="H11" s="79">
        <v>33964.300000000003</v>
      </c>
      <c r="I11" s="79">
        <v>39606.86</v>
      </c>
      <c r="J11" s="79">
        <v>44605.760000000002</v>
      </c>
      <c r="K11" s="79">
        <v>49800.63</v>
      </c>
      <c r="L11" s="79">
        <f>K11*(1+L12)</f>
        <v>55776.705600000001</v>
      </c>
      <c r="M11" s="79">
        <f>L11*(1+M12)</f>
        <v>51872.336208000001</v>
      </c>
      <c r="N11" s="79">
        <f t="shared" ref="N11:R11" si="0">M11*(1+N12)</f>
        <v>53947.22965632</v>
      </c>
      <c r="O11" s="79">
        <f t="shared" si="0"/>
        <v>55565.646546009601</v>
      </c>
      <c r="P11" s="79">
        <f t="shared" si="0"/>
        <v>56121.303011469696</v>
      </c>
      <c r="Q11" s="79">
        <f t="shared" si="0"/>
        <v>56963.122556641734</v>
      </c>
      <c r="R11" s="79">
        <f t="shared" si="0"/>
        <v>57532.75378220815</v>
      </c>
    </row>
    <row r="12" spans="1:28" x14ac:dyDescent="0.35">
      <c r="A12" s="5"/>
      <c r="B12" s="4" t="s">
        <v>1</v>
      </c>
      <c r="C12" s="97"/>
      <c r="D12" s="97"/>
      <c r="E12" s="97"/>
      <c r="F12" s="97">
        <f t="shared" ref="F12:K12" si="1">F11/E11-1</f>
        <v>0.52729437625938824</v>
      </c>
      <c r="G12" s="97">
        <f t="shared" si="1"/>
        <v>0.61403298350824587</v>
      </c>
      <c r="H12" s="90">
        <f t="shared" si="1"/>
        <v>0.26195660251170416</v>
      </c>
      <c r="I12" s="96">
        <f t="shared" si="1"/>
        <v>0.16613208574885974</v>
      </c>
      <c r="J12" s="96">
        <f t="shared" si="1"/>
        <v>0.1262129843163533</v>
      </c>
      <c r="K12" s="96">
        <f t="shared" si="1"/>
        <v>0.11646186501474243</v>
      </c>
      <c r="L12" s="96">
        <v>0.12</v>
      </c>
      <c r="M12" s="78">
        <v>-7.0000000000000007E-2</v>
      </c>
      <c r="N12" s="78">
        <v>0.04</v>
      </c>
      <c r="O12" s="78">
        <v>0.03</v>
      </c>
      <c r="P12" s="78">
        <v>0.01</v>
      </c>
      <c r="Q12" s="78">
        <v>1.4999999999999999E-2</v>
      </c>
      <c r="R12" s="13">
        <v>0.01</v>
      </c>
    </row>
    <row r="13" spans="1:28" ht="16" customHeight="1" x14ac:dyDescent="0.35">
      <c r="A13" s="5"/>
      <c r="B13" s="4" t="s">
        <v>15</v>
      </c>
      <c r="C13" s="97"/>
      <c r="D13" s="97"/>
      <c r="E13" s="97">
        <v>0.26469999999999999</v>
      </c>
      <c r="F13" s="97">
        <v>0.27679999999999999</v>
      </c>
      <c r="G13" s="97">
        <v>0.3967</v>
      </c>
      <c r="H13" s="78">
        <v>0.47049999999999997</v>
      </c>
      <c r="I13" s="78">
        <v>0.48449999999999999</v>
      </c>
      <c r="J13" s="78">
        <v>0.48110000000000003</v>
      </c>
      <c r="K13" s="95">
        <v>0.49130000000000001</v>
      </c>
      <c r="L13" s="78">
        <v>0.56110000000000004</v>
      </c>
      <c r="M13" s="78">
        <v>0.5</v>
      </c>
      <c r="N13" s="78">
        <v>0.47</v>
      </c>
      <c r="O13" s="78">
        <v>0.46</v>
      </c>
      <c r="P13" s="78">
        <v>0.45500000000000002</v>
      </c>
      <c r="Q13" s="78">
        <v>0.45</v>
      </c>
      <c r="R13" s="78">
        <v>0.45</v>
      </c>
    </row>
    <row r="14" spans="1:28" ht="17.149999999999999" customHeight="1" x14ac:dyDescent="0.35">
      <c r="A14" s="5"/>
      <c r="B14" s="4" t="s">
        <v>16</v>
      </c>
      <c r="C14" s="91"/>
      <c r="D14" s="91"/>
      <c r="E14" s="91">
        <f>E11*E13</f>
        <v>2889.9946</v>
      </c>
      <c r="F14" s="91">
        <f t="shared" ref="F14:G14" si="2">F11*F13</f>
        <v>4615.6399999999994</v>
      </c>
      <c r="G14" s="91">
        <f t="shared" si="2"/>
        <v>10676.783799999999</v>
      </c>
      <c r="H14" s="79">
        <f>H11*H13</f>
        <v>15980.203150000001</v>
      </c>
      <c r="I14" s="79">
        <f t="shared" ref="I14:R14" si="3">I11*I13</f>
        <v>19189.523669999999</v>
      </c>
      <c r="J14" s="79">
        <f t="shared" si="3"/>
        <v>21459.831136000001</v>
      </c>
      <c r="K14" s="79">
        <f t="shared" si="3"/>
        <v>24467.049519</v>
      </c>
      <c r="L14" s="79">
        <f t="shared" si="3"/>
        <v>31296.309512160002</v>
      </c>
      <c r="M14" s="79">
        <f t="shared" si="3"/>
        <v>25936.168104</v>
      </c>
      <c r="N14" s="79">
        <f t="shared" si="3"/>
        <v>25355.197938470399</v>
      </c>
      <c r="O14" s="79">
        <f t="shared" si="3"/>
        <v>25560.197411164416</v>
      </c>
      <c r="P14" s="79">
        <f t="shared" si="3"/>
        <v>25535.192870218714</v>
      </c>
      <c r="Q14" s="79">
        <f t="shared" si="3"/>
        <v>25633.405150488779</v>
      </c>
      <c r="R14" s="79">
        <f t="shared" si="3"/>
        <v>25889.739201993667</v>
      </c>
    </row>
    <row r="15" spans="1:28" x14ac:dyDescent="0.35">
      <c r="A15" s="12">
        <v>0.15</v>
      </c>
      <c r="B15" s="4" t="s">
        <v>42</v>
      </c>
      <c r="C15" s="91"/>
      <c r="D15" s="91"/>
      <c r="E15" s="91">
        <v>2796</v>
      </c>
      <c r="F15" s="91">
        <v>4332</v>
      </c>
      <c r="G15" s="91">
        <v>9752</v>
      </c>
      <c r="H15" s="79">
        <v>11565.57</v>
      </c>
      <c r="I15" s="79">
        <v>14932.8</v>
      </c>
      <c r="J15" s="79">
        <v>16424.560000000001</v>
      </c>
      <c r="K15" s="79">
        <v>18968.23</v>
      </c>
      <c r="L15" s="79">
        <v>27145</v>
      </c>
      <c r="M15" s="79">
        <f>M14*(1-$A$15)</f>
        <v>22045.7428884</v>
      </c>
      <c r="N15" s="79">
        <f t="shared" ref="N15:Q15" si="4">N14*(1-$A$15)</f>
        <v>21551.918247699839</v>
      </c>
      <c r="O15" s="79">
        <f t="shared" si="4"/>
        <v>21726.167799489755</v>
      </c>
      <c r="P15" s="79">
        <f t="shared" si="4"/>
        <v>21704.913939685906</v>
      </c>
      <c r="Q15" s="79">
        <f t="shared" si="4"/>
        <v>21788.394377915462</v>
      </c>
      <c r="R15" s="79">
        <f>R14*(1-$A$15)</f>
        <v>22006.278321694615</v>
      </c>
    </row>
    <row r="16" spans="1:28" ht="31.5" hidden="1" thickBot="1" x14ac:dyDescent="0.4">
      <c r="A16" s="14" t="s">
        <v>6</v>
      </c>
      <c r="B16" s="15"/>
      <c r="C16" s="16" t="e">
        <f t="shared" ref="C16:K16" si="5">C15/C14</f>
        <v>#DIV/0!</v>
      </c>
      <c r="D16" s="16" t="e">
        <f t="shared" si="5"/>
        <v>#DIV/0!</v>
      </c>
      <c r="E16" s="16">
        <f t="shared" si="5"/>
        <v>0.96747585618326071</v>
      </c>
      <c r="F16" s="16">
        <f t="shared" si="5"/>
        <v>0.93854806700695903</v>
      </c>
      <c r="G16" s="16">
        <f t="shared" si="5"/>
        <v>0.91338367271237619</v>
      </c>
      <c r="H16" s="16">
        <f t="shared" si="5"/>
        <v>0.72374361523683128</v>
      </c>
      <c r="I16" s="16">
        <f t="shared" si="5"/>
        <v>0.77817460489367118</v>
      </c>
      <c r="J16" s="16">
        <f t="shared" si="5"/>
        <v>0.76536296562217276</v>
      </c>
      <c r="K16" s="16">
        <f t="shared" si="5"/>
        <v>0.77525612498843122</v>
      </c>
    </row>
    <row r="17" spans="1:18" x14ac:dyDescent="0.35">
      <c r="A17" s="2" t="s">
        <v>39</v>
      </c>
      <c r="C17" s="91"/>
      <c r="D17" s="91"/>
      <c r="E17" s="91"/>
      <c r="F17" s="91"/>
      <c r="G17" s="91"/>
      <c r="H17" s="79">
        <f>H15/H18</f>
        <v>4.6188194136604883</v>
      </c>
      <c r="I17" s="79">
        <f t="shared" ref="I17:Q17" si="6">I15/I18</f>
        <v>5.9695239826309585</v>
      </c>
      <c r="J17" s="79">
        <f t="shared" si="6"/>
        <v>6.572441188118443</v>
      </c>
      <c r="K17" s="79">
        <f t="shared" si="6"/>
        <v>7.5979124242104561</v>
      </c>
      <c r="L17" s="79">
        <f t="shared" si="6"/>
        <v>10.884082728843575</v>
      </c>
      <c r="M17" s="79">
        <f t="shared" si="6"/>
        <v>8.8483285059294161</v>
      </c>
      <c r="N17" s="79">
        <f t="shared" si="6"/>
        <v>8.6587847321287246</v>
      </c>
      <c r="O17" s="79">
        <f t="shared" si="6"/>
        <v>8.7375294572925899</v>
      </c>
      <c r="P17" s="79">
        <f t="shared" si="6"/>
        <v>8.7377195937215699</v>
      </c>
      <c r="Q17" s="79">
        <f t="shared" si="6"/>
        <v>8.7801063138574307</v>
      </c>
      <c r="R17" s="79"/>
    </row>
    <row r="18" spans="1:18" ht="31.5" thickBot="1" x14ac:dyDescent="0.4">
      <c r="A18" s="2" t="s">
        <v>41</v>
      </c>
      <c r="C18" s="91"/>
      <c r="D18" s="91"/>
      <c r="E18" s="91"/>
      <c r="F18" s="91"/>
      <c r="G18" s="91"/>
      <c r="H18" s="79">
        <f>D50</f>
        <v>2504.0100000000002</v>
      </c>
      <c r="I18" s="79">
        <f>H18*0.999</f>
        <v>2501.5059900000001</v>
      </c>
      <c r="J18" s="79">
        <f t="shared" ref="J18:Q18" si="7">I18*0.999</f>
        <v>2499.0044840099999</v>
      </c>
      <c r="K18" s="79">
        <f t="shared" si="7"/>
        <v>2496.5054795259898</v>
      </c>
      <c r="L18" s="79">
        <f t="shared" si="7"/>
        <v>2494.0089740464637</v>
      </c>
      <c r="M18" s="79">
        <f t="shared" si="7"/>
        <v>2491.514965072417</v>
      </c>
      <c r="N18" s="79">
        <f t="shared" si="7"/>
        <v>2489.0234501073446</v>
      </c>
      <c r="O18" s="79">
        <f t="shared" si="7"/>
        <v>2486.5344266572374</v>
      </c>
      <c r="P18" s="79">
        <f t="shared" si="7"/>
        <v>2484.0478922305801</v>
      </c>
      <c r="Q18" s="79">
        <f t="shared" si="7"/>
        <v>2481.5638443383496</v>
      </c>
      <c r="R18" s="79"/>
    </row>
    <row r="19" spans="1:18" ht="16" thickBot="1" x14ac:dyDescent="0.4">
      <c r="A19" s="2"/>
      <c r="F19" s="55" t="s">
        <v>12</v>
      </c>
      <c r="G19" s="56"/>
      <c r="H19" s="57">
        <f>H15/(1+$C$55)</f>
        <v>10485.557570262919</v>
      </c>
      <c r="I19" s="57">
        <f>I15/(1+$C$55)^2</f>
        <v>12274.116006046313</v>
      </c>
      <c r="J19" s="57">
        <f>J15/(1+$C$55)^3</f>
        <v>12239.599485372199</v>
      </c>
      <c r="K19" s="57">
        <f>K15/(1+$C$55)^4</f>
        <v>12815.181378045918</v>
      </c>
      <c r="L19" s="57">
        <f>L15/(1+$C$55)^5</f>
        <v>16626.938246478046</v>
      </c>
      <c r="M19" s="57">
        <f>M15/(1+$C$55)^6</f>
        <v>12242.543714922709</v>
      </c>
      <c r="N19" s="57">
        <f>N15/(1+$C$55)^7</f>
        <v>10850.689696925148</v>
      </c>
      <c r="O19" s="57">
        <f>O15/(1+$C$55)^8</f>
        <v>9916.9706957873805</v>
      </c>
      <c r="P19" s="57">
        <f>P15/(1+$C$55)^9</f>
        <v>8982.1117963835604</v>
      </c>
      <c r="Q19" s="57">
        <f>Q15/(1+$C$55)^10</f>
        <v>8174.6676157894844</v>
      </c>
      <c r="R19" s="58">
        <f>(R15/(C55-R12))/(1+C55)^10</f>
        <v>88778.648300509434</v>
      </c>
    </row>
    <row r="20" spans="1:18" x14ac:dyDescent="0.35">
      <c r="A20" s="2"/>
      <c r="C20" s="82"/>
      <c r="D20" s="93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P21" s="3"/>
      <c r="Q21" s="3"/>
      <c r="R21" s="3"/>
    </row>
    <row r="22" spans="1:18" ht="16" thickBot="1" x14ac:dyDescent="0.4">
      <c r="P22" s="3"/>
      <c r="Q22" s="3"/>
      <c r="R22" s="3"/>
    </row>
    <row r="23" spans="1:18" x14ac:dyDescent="0.35">
      <c r="A23" s="34" t="s">
        <v>27</v>
      </c>
      <c r="B23" s="35"/>
      <c r="C23" s="35"/>
      <c r="D23" s="36"/>
      <c r="E23" s="24"/>
      <c r="F23" s="35"/>
      <c r="G23" s="63" t="s">
        <v>28</v>
      </c>
      <c r="H23" s="24"/>
      <c r="I23" s="86">
        <v>1.4999999999999999E-2</v>
      </c>
      <c r="J23" s="25" t="s">
        <v>29</v>
      </c>
    </row>
    <row r="24" spans="1:18" x14ac:dyDescent="0.35">
      <c r="A24" s="37"/>
      <c r="B24" s="38"/>
      <c r="C24" s="38"/>
      <c r="D24" s="39"/>
      <c r="E24" s="38"/>
      <c r="F24" s="38"/>
      <c r="G24" s="26"/>
      <c r="H24" s="27"/>
      <c r="I24" s="87"/>
      <c r="J24" s="28"/>
    </row>
    <row r="25" spans="1:18" x14ac:dyDescent="0.35">
      <c r="A25" s="37"/>
      <c r="B25" s="38"/>
      <c r="C25" s="38"/>
      <c r="D25" s="40"/>
      <c r="E25" s="27"/>
      <c r="F25" s="38"/>
      <c r="G25" s="26" t="s">
        <v>30</v>
      </c>
      <c r="H25" s="27"/>
      <c r="I25" s="88">
        <f>(I27-I23)*I29</f>
        <v>8.8000000000000023E-2</v>
      </c>
      <c r="J25" s="28"/>
    </row>
    <row r="26" spans="1:18" x14ac:dyDescent="0.35">
      <c r="A26" s="37"/>
      <c r="B26" s="38"/>
      <c r="C26" s="38"/>
      <c r="D26" s="40"/>
      <c r="E26" s="27"/>
      <c r="F26" s="38"/>
      <c r="G26" s="26"/>
      <c r="H26" s="27"/>
      <c r="I26" s="87"/>
      <c r="J26" s="28"/>
    </row>
    <row r="27" spans="1:18" x14ac:dyDescent="0.35">
      <c r="A27" s="37"/>
      <c r="B27" s="38"/>
      <c r="C27" s="38"/>
      <c r="D27" s="40"/>
      <c r="E27" s="27"/>
      <c r="F27" s="38"/>
      <c r="G27" s="26" t="s">
        <v>31</v>
      </c>
      <c r="H27" s="27"/>
      <c r="I27" s="89">
        <v>7.0000000000000007E-2</v>
      </c>
      <c r="J27" s="28" t="s">
        <v>32</v>
      </c>
    </row>
    <row r="28" spans="1:18" x14ac:dyDescent="0.35">
      <c r="A28" s="37"/>
      <c r="B28" s="38"/>
      <c r="C28" s="38"/>
      <c r="D28" s="41"/>
      <c r="E28" s="27"/>
      <c r="F28" s="38"/>
      <c r="G28" s="26"/>
      <c r="H28" s="27"/>
      <c r="I28" s="87"/>
      <c r="J28" s="28"/>
    </row>
    <row r="29" spans="1:18" x14ac:dyDescent="0.35">
      <c r="A29" s="37"/>
      <c r="B29" s="38"/>
      <c r="C29" s="38"/>
      <c r="D29" s="41"/>
      <c r="E29" s="27"/>
      <c r="F29" s="38"/>
      <c r="G29" s="26" t="s">
        <v>38</v>
      </c>
      <c r="H29" s="27"/>
      <c r="I29" s="87">
        <v>1.6</v>
      </c>
      <c r="J29" s="28" t="s">
        <v>33</v>
      </c>
    </row>
    <row r="30" spans="1:18" x14ac:dyDescent="0.35">
      <c r="A30" s="37"/>
      <c r="B30" s="38"/>
      <c r="C30" s="38"/>
      <c r="D30" s="42"/>
      <c r="E30" s="27"/>
      <c r="F30" s="38"/>
      <c r="G30" s="26"/>
      <c r="H30" s="27"/>
      <c r="I30" s="87"/>
      <c r="J30" s="28"/>
    </row>
    <row r="31" spans="1:18" x14ac:dyDescent="0.35">
      <c r="A31" s="37"/>
      <c r="B31" s="38"/>
      <c r="C31" s="38"/>
      <c r="D31" s="39"/>
      <c r="E31" s="27"/>
      <c r="F31" s="38"/>
      <c r="G31" s="26" t="s">
        <v>34</v>
      </c>
      <c r="H31" s="27"/>
      <c r="I31" s="89">
        <f>I23+(I27-I23)*I29</f>
        <v>0.10300000000000002</v>
      </c>
      <c r="J31" s="28" t="s">
        <v>35</v>
      </c>
    </row>
    <row r="32" spans="1:18" x14ac:dyDescent="0.3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35">
      <c r="A33" s="26"/>
      <c r="B33" s="27"/>
      <c r="C33" s="27"/>
      <c r="D33" s="27"/>
      <c r="E33" s="27"/>
      <c r="F33" s="27"/>
      <c r="G33" s="83" t="s">
        <v>37</v>
      </c>
      <c r="H33" s="84"/>
      <c r="I33" s="85">
        <f>I31</f>
        <v>0.10300000000000002</v>
      </c>
      <c r="J33" s="28"/>
    </row>
    <row r="34" spans="1:10" x14ac:dyDescent="0.3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3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3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3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3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3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35">
      <c r="A40" s="26"/>
      <c r="B40" s="46"/>
      <c r="C40" s="46">
        <v>0.12</v>
      </c>
      <c r="D40" s="46" t="e">
        <f>((NPV(C40,$H$15:$R$15)+(#REF!*(1+#REF!)/(C40-#REF!))/(1+C40)^(2040-2020))/$D$50)/$C$51-1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35">
      <c r="A41" s="26"/>
      <c r="B41" s="46"/>
      <c r="C41" s="46">
        <v>0.14000000000000001</v>
      </c>
      <c r="D41" s="46" t="e">
        <f>((NPV(C41,$H$15:$R$15)+(#REF!*(1+#REF!)/(C41-#REF!))/(1+C41)^(2040-2020))/$D$50)/$C$51-1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35">
      <c r="A42" s="26"/>
      <c r="B42" s="46"/>
      <c r="C42" s="46">
        <v>0.16</v>
      </c>
      <c r="D42" s="46" t="e">
        <f>((NPV(C42,$H$15:$R$15)+(#REF!*(1+#REF!)/(C42-#REF!))/(1+C42)^(2040-2020))/$D$50)/$C$51-1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35">
      <c r="A43" s="26"/>
      <c r="B43" s="46"/>
      <c r="C43" s="46">
        <v>0.18</v>
      </c>
      <c r="D43" s="46" t="e">
        <f>((NPV(C43,$H$15:$R$15)+(#REF!*(1+#REF!)/(C43-#REF!))/(1+C43)^(2040-2020))/$D$50)/$C$51-1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35">
      <c r="A44" s="26"/>
      <c r="B44" s="46"/>
      <c r="C44" s="46">
        <v>0.2</v>
      </c>
      <c r="D44" s="46" t="e">
        <f>((NPV(C44,$H$15:$R$15)+(#REF!*(1+#REF!)/(C44-#REF!))/(1+C44)^(2040-2020))/$D$50)/$C$51-1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3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" thickBot="1" x14ac:dyDescent="0.4">
      <c r="A46" s="30"/>
      <c r="B46" s="31" t="s">
        <v>23</v>
      </c>
      <c r="C46" s="31"/>
      <c r="D46" s="47">
        <f>I33</f>
        <v>0.10300000000000002</v>
      </c>
      <c r="E46" s="31"/>
      <c r="F46" s="31"/>
      <c r="G46" s="30"/>
      <c r="H46" s="31"/>
      <c r="I46" s="31"/>
      <c r="J46" s="32"/>
    </row>
    <row r="48" spans="1:10" x14ac:dyDescent="0.35">
      <c r="A48" s="17"/>
      <c r="B48" s="18"/>
      <c r="C48" s="94">
        <v>44715</v>
      </c>
      <c r="D48" s="19" t="s">
        <v>3</v>
      </c>
      <c r="E48" s="20"/>
      <c r="F48" s="21"/>
      <c r="G48" s="22"/>
      <c r="H48" s="22"/>
      <c r="I48" s="22"/>
    </row>
    <row r="49" spans="1:17" x14ac:dyDescent="0.35">
      <c r="A49" s="48" t="s">
        <v>0</v>
      </c>
      <c r="B49" s="49" t="s">
        <v>5</v>
      </c>
      <c r="C49" s="77">
        <f>C50*C51</f>
        <v>468400.11060000007</v>
      </c>
      <c r="D49" s="51">
        <f>SUM(H19:R19)</f>
        <v>203387.0245065231</v>
      </c>
      <c r="E49" s="49" t="s">
        <v>46</v>
      </c>
    </row>
    <row r="50" spans="1:17" x14ac:dyDescent="0.35">
      <c r="A50" s="48"/>
      <c r="B50" s="49" t="s">
        <v>11</v>
      </c>
      <c r="C50" s="50">
        <v>2504.0100000000002</v>
      </c>
      <c r="D50" s="50">
        <v>2504.0100000000002</v>
      </c>
      <c r="E50" s="49"/>
    </row>
    <row r="51" spans="1:17" x14ac:dyDescent="0.35">
      <c r="A51" s="48"/>
      <c r="B51" s="49" t="s">
        <v>13</v>
      </c>
      <c r="C51" s="49">
        <v>187.06</v>
      </c>
      <c r="D51" s="60">
        <f>D49/(D50)</f>
        <v>81.224525663445064</v>
      </c>
      <c r="E51" s="49" t="s">
        <v>46</v>
      </c>
    </row>
    <row r="52" spans="1:17" x14ac:dyDescent="0.35">
      <c r="A52" s="48"/>
      <c r="B52" s="49" t="s">
        <v>2</v>
      </c>
      <c r="C52" s="49"/>
      <c r="D52" s="61">
        <f>IF(C51/D51-1&gt;0,0,C51/D51-1)*-1</f>
        <v>0</v>
      </c>
      <c r="E52" s="49"/>
    </row>
    <row r="53" spans="1:17" x14ac:dyDescent="0.35">
      <c r="A53" s="48"/>
      <c r="B53" s="49" t="s">
        <v>14</v>
      </c>
      <c r="C53" s="49"/>
      <c r="D53" s="62">
        <f>IF(C51/D51-1&lt;0,0,C51/D51-1)</f>
        <v>1.3029989830299002</v>
      </c>
      <c r="E53" s="49"/>
    </row>
    <row r="54" spans="1:17" x14ac:dyDescent="0.35">
      <c r="A54" s="49"/>
      <c r="B54" s="49"/>
      <c r="C54" s="49"/>
      <c r="D54" s="52"/>
      <c r="E54" s="52"/>
    </row>
    <row r="55" spans="1:17" x14ac:dyDescent="0.35">
      <c r="A55" s="52" t="s">
        <v>22</v>
      </c>
      <c r="B55" s="49"/>
      <c r="C55" s="54">
        <f>D46</f>
        <v>0.10300000000000002</v>
      </c>
      <c r="D55" s="53"/>
      <c r="E55" s="49"/>
      <c r="J55" s="76"/>
    </row>
    <row r="56" spans="1:17" x14ac:dyDescent="0.35">
      <c r="A56" s="52"/>
      <c r="B56" s="49"/>
      <c r="C56" s="54"/>
      <c r="D56" s="53"/>
      <c r="E56" s="49"/>
    </row>
    <row r="57" spans="1:17" hidden="1" x14ac:dyDescent="0.35">
      <c r="A57" s="52" t="s">
        <v>25</v>
      </c>
      <c r="B57" s="80">
        <v>0.108</v>
      </c>
      <c r="C57" s="54"/>
      <c r="D57" s="81">
        <f>SUM(H57:Q57)*1000</f>
        <v>184656316.43541077</v>
      </c>
      <c r="E57" s="49"/>
      <c r="F57" s="1" t="s">
        <v>26</v>
      </c>
      <c r="H57" s="1">
        <f>H15/(1+$B$57)</f>
        <v>10438.240072202165</v>
      </c>
      <c r="I57" s="1">
        <f>I15/(1+$B$57)^2</f>
        <v>12163.58873437683</v>
      </c>
      <c r="J57" s="1">
        <f>J15/(1+$B$57)^3</f>
        <v>12074.647548761914</v>
      </c>
      <c r="K57" s="1">
        <f>K15/(1+$B$57)^4</f>
        <v>12585.421510011411</v>
      </c>
      <c r="L57" s="1">
        <f>L15/(1+$B$57)^5</f>
        <v>16255.152342185131</v>
      </c>
      <c r="M57" s="1">
        <f>M15/(1+$B$57)^6</f>
        <v>11914.784060051428</v>
      </c>
      <c r="N57" s="1">
        <f>N15/(1+$B$57)^7</f>
        <v>10512.538715799888</v>
      </c>
      <c r="O57" s="1">
        <f>O15/(1+$B$57)^8</f>
        <v>9564.5611098125537</v>
      </c>
      <c r="P57" s="1">
        <f>P15/(1+$B$57)^9</f>
        <v>8623.8307526572717</v>
      </c>
      <c r="Q57" s="1">
        <f>(R15/(B57-R12))/(1+B57)^10</f>
        <v>80523.551589552168</v>
      </c>
    </row>
    <row r="58" spans="1:17" ht="16" thickBot="1" x14ac:dyDescent="0.4">
      <c r="A58" s="23"/>
      <c r="C58" s="71"/>
      <c r="D58" s="72"/>
    </row>
    <row r="59" spans="1:17" x14ac:dyDescent="0.35">
      <c r="A59" s="63" t="s">
        <v>43</v>
      </c>
      <c r="B59" s="24"/>
      <c r="C59" s="73">
        <v>20</v>
      </c>
      <c r="D59" s="24"/>
      <c r="E59" s="25"/>
    </row>
    <row r="60" spans="1:17" x14ac:dyDescent="0.35">
      <c r="A60" s="26" t="s">
        <v>24</v>
      </c>
      <c r="B60" s="27"/>
      <c r="C60" s="74"/>
      <c r="D60" s="27"/>
      <c r="E60" s="28"/>
    </row>
    <row r="61" spans="1:17" x14ac:dyDescent="0.35">
      <c r="A61" s="26"/>
      <c r="B61" s="27"/>
      <c r="C61" s="74"/>
      <c r="D61" s="27"/>
      <c r="E61" s="28"/>
    </row>
    <row r="62" spans="1:17" x14ac:dyDescent="0.35">
      <c r="A62" s="26" t="s">
        <v>40</v>
      </c>
      <c r="B62" s="27"/>
      <c r="C62" s="74"/>
      <c r="D62" s="27"/>
      <c r="E62" s="64">
        <f>Q17*C59</f>
        <v>175.60212627714861</v>
      </c>
    </row>
    <row r="63" spans="1:17" x14ac:dyDescent="0.35">
      <c r="A63" s="26"/>
      <c r="B63" s="27"/>
      <c r="C63" s="74"/>
      <c r="D63" s="27"/>
      <c r="E63" s="28"/>
    </row>
    <row r="64" spans="1:17" x14ac:dyDescent="0.35">
      <c r="A64" s="26" t="s">
        <v>17</v>
      </c>
      <c r="B64" s="27"/>
      <c r="C64" s="75">
        <v>0.05</v>
      </c>
      <c r="D64" s="27"/>
      <c r="E64" s="28"/>
    </row>
    <row r="65" spans="1:5" x14ac:dyDescent="0.35">
      <c r="A65" s="26"/>
      <c r="B65" s="27"/>
      <c r="C65" s="27"/>
      <c r="D65" s="27"/>
      <c r="E65" s="28"/>
    </row>
    <row r="66" spans="1:5" x14ac:dyDescent="0.35">
      <c r="A66" s="26" t="s">
        <v>18</v>
      </c>
      <c r="B66" s="27"/>
      <c r="C66" s="27"/>
      <c r="D66" s="27"/>
      <c r="E66" s="64">
        <f>SUM(H17:R17)*C64</f>
        <v>3.9702624170196823</v>
      </c>
    </row>
    <row r="67" spans="1:5" x14ac:dyDescent="0.35">
      <c r="A67" s="26"/>
      <c r="B67" s="27"/>
      <c r="C67" s="27"/>
      <c r="D67" s="27"/>
      <c r="E67" s="65"/>
    </row>
    <row r="68" spans="1:5" x14ac:dyDescent="0.35">
      <c r="A68" s="66" t="s">
        <v>44</v>
      </c>
      <c r="B68" s="27"/>
      <c r="C68" s="27"/>
      <c r="D68" s="27"/>
      <c r="E68" s="67">
        <f>(E66*0.3)*-1</f>
        <v>-1.1910787251059047</v>
      </c>
    </row>
    <row r="69" spans="1:5" x14ac:dyDescent="0.35">
      <c r="A69" s="26"/>
      <c r="B69" s="27"/>
      <c r="C69" s="46"/>
      <c r="D69" s="46"/>
      <c r="E69" s="68"/>
    </row>
    <row r="70" spans="1:5" x14ac:dyDescent="0.35">
      <c r="A70" s="26" t="s">
        <v>19</v>
      </c>
      <c r="B70" s="27"/>
      <c r="C70" s="27"/>
      <c r="D70" s="27"/>
      <c r="E70" s="64">
        <f>SUM(E62:E68)</f>
        <v>178.38130996906239</v>
      </c>
    </row>
    <row r="71" spans="1:5" x14ac:dyDescent="0.35">
      <c r="A71" s="26"/>
      <c r="B71" s="27"/>
      <c r="C71" s="27"/>
      <c r="D71" s="27"/>
      <c r="E71" s="64"/>
    </row>
    <row r="72" spans="1:5" x14ac:dyDescent="0.35">
      <c r="A72" s="26" t="s">
        <v>20</v>
      </c>
      <c r="B72" s="27"/>
      <c r="C72" s="27"/>
      <c r="D72" s="27"/>
      <c r="E72" s="68">
        <f>E70/C51-1</f>
        <v>-4.6395220950163685E-2</v>
      </c>
    </row>
    <row r="73" spans="1:5" x14ac:dyDescent="0.35">
      <c r="A73" s="26"/>
      <c r="B73" s="27"/>
      <c r="C73" s="27"/>
      <c r="D73" s="27"/>
      <c r="E73" s="28"/>
    </row>
    <row r="74" spans="1:5" ht="16" thickBot="1" x14ac:dyDescent="0.4">
      <c r="A74" s="98" t="s">
        <v>21</v>
      </c>
      <c r="B74" s="99"/>
      <c r="C74" s="99"/>
      <c r="D74" s="99"/>
      <c r="E74" s="100">
        <f>(E70/C51)^(1/10)-1</f>
        <v>-4.7393308706770165E-3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topLeftCell="A50" zoomScaleNormal="100" workbookViewId="0">
      <selection activeCell="C52" sqref="C52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3" width="16" style="1" bestFit="1" customWidth="1"/>
    <col min="4" max="4" width="16.08203125" style="1" customWidth="1"/>
    <col min="5" max="5" width="14.08203125" style="1" customWidth="1"/>
    <col min="6" max="6" width="13.58203125" style="1" customWidth="1"/>
    <col min="7" max="7" width="14.83203125" style="1" customWidth="1"/>
    <col min="8" max="8" width="12.08203125" style="1" customWidth="1"/>
    <col min="9" max="9" width="12.33203125" style="1" bestFit="1" customWidth="1"/>
    <col min="10" max="16" width="13.33203125" style="1" bestFit="1" customWidth="1"/>
    <col min="17" max="18" width="10.58203125" style="1" customWidth="1"/>
    <col min="19" max="16384" width="10.58203125" style="1"/>
  </cols>
  <sheetData>
    <row r="2" spans="1:28" ht="26" x14ac:dyDescent="0.6">
      <c r="B2" s="33" t="s">
        <v>10</v>
      </c>
    </row>
    <row r="4" spans="1:28" x14ac:dyDescent="0.35">
      <c r="B4" s="23" t="s">
        <v>45</v>
      </c>
      <c r="L4" s="27"/>
      <c r="M4" s="27"/>
      <c r="N4" s="27"/>
      <c r="O4" s="27"/>
      <c r="P4" s="27"/>
      <c r="Q4" s="27"/>
      <c r="R4" s="27"/>
      <c r="S4" s="27"/>
    </row>
    <row r="5" spans="1:28" x14ac:dyDescent="0.35">
      <c r="L5" s="27"/>
      <c r="M5" s="27"/>
      <c r="N5" s="27"/>
      <c r="O5" s="27"/>
      <c r="P5" s="27"/>
      <c r="Q5" s="27"/>
      <c r="R5" s="27"/>
      <c r="S5" s="27"/>
    </row>
    <row r="6" spans="1:28" x14ac:dyDescent="0.3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3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11">
        <v>2022</v>
      </c>
      <c r="H10" s="59">
        <v>2023</v>
      </c>
      <c r="I10" s="59">
        <v>2024</v>
      </c>
      <c r="J10" s="59">
        <v>2025</v>
      </c>
      <c r="K10" s="59">
        <v>2026</v>
      </c>
      <c r="L10" s="59">
        <v>2027</v>
      </c>
      <c r="M10" s="59">
        <v>2028</v>
      </c>
      <c r="N10" s="59">
        <v>2029</v>
      </c>
      <c r="O10" s="59">
        <v>2030</v>
      </c>
      <c r="P10" s="59">
        <v>2031</v>
      </c>
      <c r="Q10" s="59">
        <v>2032</v>
      </c>
      <c r="R10" s="59" t="s">
        <v>47</v>
      </c>
    </row>
    <row r="11" spans="1:28" x14ac:dyDescent="0.35">
      <c r="A11" s="5"/>
      <c r="B11" s="4" t="s">
        <v>4</v>
      </c>
      <c r="C11" s="91"/>
      <c r="D11" s="91"/>
      <c r="E11" s="91">
        <v>10918</v>
      </c>
      <c r="F11" s="91">
        <v>16675</v>
      </c>
      <c r="G11" s="91">
        <v>26914</v>
      </c>
      <c r="H11" s="79">
        <v>33964.300000000003</v>
      </c>
      <c r="I11" s="79">
        <v>39606.86</v>
      </c>
      <c r="J11" s="79">
        <v>44605.760000000002</v>
      </c>
      <c r="K11" s="79">
        <v>49800.63</v>
      </c>
      <c r="L11" s="79">
        <f t="shared" ref="L11:R11" si="0">K11*(1+L12)</f>
        <v>55776.705600000001</v>
      </c>
      <c r="M11" s="79">
        <f t="shared" si="0"/>
        <v>61354.376160000007</v>
      </c>
      <c r="N11" s="79">
        <f t="shared" si="0"/>
        <v>67489.81377600001</v>
      </c>
      <c r="O11" s="79">
        <f t="shared" si="0"/>
        <v>72888.998878080019</v>
      </c>
      <c r="P11" s="79">
        <f t="shared" si="0"/>
        <v>76533.448821984028</v>
      </c>
      <c r="Q11" s="79">
        <f t="shared" si="0"/>
        <v>78829.452286643544</v>
      </c>
      <c r="R11" s="79">
        <f t="shared" si="0"/>
        <v>80406.041332376422</v>
      </c>
    </row>
    <row r="12" spans="1:28" x14ac:dyDescent="0.35">
      <c r="A12" s="5"/>
      <c r="B12" s="4" t="s">
        <v>1</v>
      </c>
      <c r="C12" s="97"/>
      <c r="D12" s="97"/>
      <c r="E12" s="97"/>
      <c r="F12" s="97">
        <f t="shared" ref="F12:K12" si="1">F11/E11-1</f>
        <v>0.52729437625938824</v>
      </c>
      <c r="G12" s="97">
        <f t="shared" si="1"/>
        <v>0.61403298350824587</v>
      </c>
      <c r="H12" s="90">
        <f t="shared" si="1"/>
        <v>0.26195660251170416</v>
      </c>
      <c r="I12" s="96">
        <f t="shared" si="1"/>
        <v>0.16613208574885974</v>
      </c>
      <c r="J12" s="96">
        <f t="shared" si="1"/>
        <v>0.1262129843163533</v>
      </c>
      <c r="K12" s="96">
        <f t="shared" si="1"/>
        <v>0.11646186501474243</v>
      </c>
      <c r="L12" s="96">
        <v>0.12</v>
      </c>
      <c r="M12" s="78">
        <v>0.1</v>
      </c>
      <c r="N12" s="78">
        <v>0.1</v>
      </c>
      <c r="O12" s="78">
        <v>0.08</v>
      </c>
      <c r="P12" s="78">
        <v>0.05</v>
      </c>
      <c r="Q12" s="78">
        <v>0.03</v>
      </c>
      <c r="R12" s="13">
        <v>0.02</v>
      </c>
    </row>
    <row r="13" spans="1:28" ht="16" customHeight="1" x14ac:dyDescent="0.35">
      <c r="A13" s="5"/>
      <c r="B13" s="4" t="s">
        <v>15</v>
      </c>
      <c r="C13" s="97"/>
      <c r="D13" s="97"/>
      <c r="E13" s="97">
        <v>0.26469999999999999</v>
      </c>
      <c r="F13" s="97">
        <v>0.27679999999999999</v>
      </c>
      <c r="G13" s="97">
        <v>0.3967</v>
      </c>
      <c r="H13" s="78">
        <v>0.47049999999999997</v>
      </c>
      <c r="I13" s="78">
        <v>0.48449999999999999</v>
      </c>
      <c r="J13" s="78">
        <v>0.48110000000000003</v>
      </c>
      <c r="K13" s="95">
        <v>0.49130000000000001</v>
      </c>
      <c r="L13" s="78">
        <v>0.56110000000000004</v>
      </c>
      <c r="M13" s="78">
        <v>0.56399999999999995</v>
      </c>
      <c r="N13" s="78">
        <v>0.56499999999999995</v>
      </c>
      <c r="O13" s="78">
        <v>0.56499999999999995</v>
      </c>
      <c r="P13" s="78">
        <v>0.56499999999999995</v>
      </c>
      <c r="Q13" s="78">
        <v>0.56499999999999995</v>
      </c>
      <c r="R13" s="78">
        <v>0.56499999999999995</v>
      </c>
    </row>
    <row r="14" spans="1:28" ht="17.149999999999999" customHeight="1" x14ac:dyDescent="0.35">
      <c r="A14" s="5"/>
      <c r="B14" s="4" t="s">
        <v>16</v>
      </c>
      <c r="C14" s="91"/>
      <c r="D14" s="91"/>
      <c r="E14" s="91">
        <f>E11*E13</f>
        <v>2889.9946</v>
      </c>
      <c r="F14" s="91">
        <f t="shared" ref="F14:G14" si="2">F11*F13</f>
        <v>4615.6399999999994</v>
      </c>
      <c r="G14" s="91">
        <f t="shared" si="2"/>
        <v>10676.783799999999</v>
      </c>
      <c r="H14" s="79">
        <f>H11*H13</f>
        <v>15980.203150000001</v>
      </c>
      <c r="I14" s="79">
        <f t="shared" ref="I14:R14" si="3">I11*I13</f>
        <v>19189.523669999999</v>
      </c>
      <c r="J14" s="79">
        <f t="shared" si="3"/>
        <v>21459.831136000001</v>
      </c>
      <c r="K14" s="79">
        <f t="shared" si="3"/>
        <v>24467.049519</v>
      </c>
      <c r="L14" s="79">
        <f t="shared" si="3"/>
        <v>31296.309512160002</v>
      </c>
      <c r="M14" s="79">
        <f t="shared" si="3"/>
        <v>34603.868154240001</v>
      </c>
      <c r="N14" s="79">
        <f t="shared" si="3"/>
        <v>38131.744783440001</v>
      </c>
      <c r="O14" s="79">
        <f t="shared" si="3"/>
        <v>41182.284366115207</v>
      </c>
      <c r="P14" s="79">
        <f t="shared" si="3"/>
        <v>43241.398584420975</v>
      </c>
      <c r="Q14" s="79">
        <f t="shared" si="3"/>
        <v>44538.640541953595</v>
      </c>
      <c r="R14" s="79">
        <f t="shared" si="3"/>
        <v>45429.413352792675</v>
      </c>
    </row>
    <row r="15" spans="1:28" x14ac:dyDescent="0.35">
      <c r="A15" s="12">
        <v>0.15</v>
      </c>
      <c r="B15" s="4" t="s">
        <v>42</v>
      </c>
      <c r="C15" s="91"/>
      <c r="D15" s="91"/>
      <c r="E15" s="91">
        <v>2796</v>
      </c>
      <c r="F15" s="91">
        <v>4332</v>
      </c>
      <c r="G15" s="91">
        <v>9752</v>
      </c>
      <c r="H15" s="79">
        <v>11565.57</v>
      </c>
      <c r="I15" s="79">
        <v>14932.8</v>
      </c>
      <c r="J15" s="79">
        <v>16424.560000000001</v>
      </c>
      <c r="K15" s="79">
        <v>18968.23</v>
      </c>
      <c r="L15" s="79">
        <v>27145</v>
      </c>
      <c r="M15" s="79">
        <f>M14*(1-$A$15)</f>
        <v>29413.287931104001</v>
      </c>
      <c r="N15" s="79">
        <f t="shared" ref="N15:Q15" si="4">N14*(1-$A$15)</f>
        <v>32411.983065924</v>
      </c>
      <c r="O15" s="79">
        <f t="shared" si="4"/>
        <v>35004.941711197927</v>
      </c>
      <c r="P15" s="79">
        <f t="shared" si="4"/>
        <v>36755.18879675783</v>
      </c>
      <c r="Q15" s="79">
        <f t="shared" si="4"/>
        <v>37857.844460660555</v>
      </c>
      <c r="R15" s="79">
        <f>R14*(1-$A$15)</f>
        <v>38615.001349873775</v>
      </c>
    </row>
    <row r="16" spans="1:28" ht="31.5" hidden="1" thickBot="1" x14ac:dyDescent="0.4">
      <c r="A16" s="14" t="s">
        <v>6</v>
      </c>
      <c r="B16" s="15"/>
      <c r="C16" s="16" t="e">
        <f t="shared" ref="C16:K16" si="5">C15/C14</f>
        <v>#DIV/0!</v>
      </c>
      <c r="D16" s="16" t="e">
        <f t="shared" si="5"/>
        <v>#DIV/0!</v>
      </c>
      <c r="E16" s="16">
        <f t="shared" si="5"/>
        <v>0.96747585618326071</v>
      </c>
      <c r="F16" s="16">
        <f t="shared" si="5"/>
        <v>0.93854806700695903</v>
      </c>
      <c r="G16" s="16">
        <f t="shared" si="5"/>
        <v>0.91338367271237619</v>
      </c>
      <c r="H16" s="16">
        <f t="shared" si="5"/>
        <v>0.72374361523683128</v>
      </c>
      <c r="I16" s="16">
        <f t="shared" si="5"/>
        <v>0.77817460489367118</v>
      </c>
      <c r="J16" s="16">
        <f t="shared" si="5"/>
        <v>0.76536296562217276</v>
      </c>
      <c r="K16" s="16">
        <f t="shared" si="5"/>
        <v>0.77525612498843122</v>
      </c>
    </row>
    <row r="17" spans="1:18" x14ac:dyDescent="0.35">
      <c r="A17" s="2" t="s">
        <v>39</v>
      </c>
      <c r="C17" s="91"/>
      <c r="D17" s="91"/>
      <c r="E17" s="91"/>
      <c r="F17" s="91"/>
      <c r="G17" s="91"/>
      <c r="H17" s="79">
        <f>H15/H18</f>
        <v>4.6188194136604883</v>
      </c>
      <c r="I17" s="79">
        <f t="shared" ref="I17:Q17" si="6">I15/I18</f>
        <v>5.9695239826309585</v>
      </c>
      <c r="J17" s="79">
        <f t="shared" si="6"/>
        <v>6.572441188118443</v>
      </c>
      <c r="K17" s="79">
        <f t="shared" si="6"/>
        <v>7.5979124242104561</v>
      </c>
      <c r="L17" s="79">
        <f t="shared" si="6"/>
        <v>10.884082728843575</v>
      </c>
      <c r="M17" s="79">
        <f t="shared" si="6"/>
        <v>11.805382806620667</v>
      </c>
      <c r="N17" s="79">
        <f t="shared" si="6"/>
        <v>13.021967737799402</v>
      </c>
      <c r="O17" s="79">
        <f t="shared" si="6"/>
        <v>14.077802959783138</v>
      </c>
      <c r="P17" s="79">
        <f t="shared" si="6"/>
        <v>14.796489597369668</v>
      </c>
      <c r="Q17" s="79">
        <f t="shared" si="6"/>
        <v>15.25563992521597</v>
      </c>
      <c r="R17" s="79"/>
    </row>
    <row r="18" spans="1:18" ht="31.5" thickBot="1" x14ac:dyDescent="0.4">
      <c r="A18" s="2" t="s">
        <v>41</v>
      </c>
      <c r="C18" s="91"/>
      <c r="D18" s="91"/>
      <c r="E18" s="91"/>
      <c r="F18" s="91"/>
      <c r="G18" s="91"/>
      <c r="H18" s="79">
        <f>D50</f>
        <v>2504.0100000000002</v>
      </c>
      <c r="I18" s="79">
        <f>H18*0.999</f>
        <v>2501.5059900000001</v>
      </c>
      <c r="J18" s="79">
        <f t="shared" ref="J18:Q18" si="7">I18*0.999</f>
        <v>2499.0044840099999</v>
      </c>
      <c r="K18" s="79">
        <f t="shared" si="7"/>
        <v>2496.5054795259898</v>
      </c>
      <c r="L18" s="79">
        <f t="shared" si="7"/>
        <v>2494.0089740464637</v>
      </c>
      <c r="M18" s="79">
        <f t="shared" si="7"/>
        <v>2491.514965072417</v>
      </c>
      <c r="N18" s="79">
        <f t="shared" si="7"/>
        <v>2489.0234501073446</v>
      </c>
      <c r="O18" s="79">
        <f t="shared" si="7"/>
        <v>2486.5344266572374</v>
      </c>
      <c r="P18" s="79">
        <f t="shared" si="7"/>
        <v>2484.0478922305801</v>
      </c>
      <c r="Q18" s="79">
        <f t="shared" si="7"/>
        <v>2481.5638443383496</v>
      </c>
      <c r="R18" s="79"/>
    </row>
    <row r="19" spans="1:18" ht="16" thickBot="1" x14ac:dyDescent="0.4">
      <c r="A19" s="2"/>
      <c r="F19" s="55" t="s">
        <v>12</v>
      </c>
      <c r="G19" s="56"/>
      <c r="H19" s="57">
        <f>H15/(1+$C$55)</f>
        <v>10485.557570262919</v>
      </c>
      <c r="I19" s="57">
        <f>I15/(1+$C$55)^2</f>
        <v>12274.116006046313</v>
      </c>
      <c r="J19" s="57">
        <f>J15/(1+$C$55)^3</f>
        <v>12239.599485372199</v>
      </c>
      <c r="K19" s="57">
        <f>K15/(1+$C$55)^4</f>
        <v>12815.181378045918</v>
      </c>
      <c r="L19" s="57">
        <f>L15/(1+$C$55)^5</f>
        <v>16626.938246478046</v>
      </c>
      <c r="M19" s="57">
        <f>M15/(1+$C$55)^6</f>
        <v>16333.922840296878</v>
      </c>
      <c r="N19" s="57">
        <f>N15/(1+$C$55)^7</f>
        <v>16318.379026324899</v>
      </c>
      <c r="O19" s="57">
        <f>O15/(1+$C$55)^8</f>
        <v>15978.104576999904</v>
      </c>
      <c r="P19" s="57">
        <f>P15/(1+$C$55)^9</f>
        <v>15210.344338939169</v>
      </c>
      <c r="Q19" s="57">
        <f>Q15/(1+$C$55)^10</f>
        <v>14203.676037268666</v>
      </c>
      <c r="R19" s="58">
        <f>(R15/(C55-R12))/(1+C55)^10</f>
        <v>174551.19949414505</v>
      </c>
    </row>
    <row r="20" spans="1:18" x14ac:dyDescent="0.35">
      <c r="A20" s="2"/>
      <c r="C20" s="82"/>
      <c r="D20" s="93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P21" s="3"/>
      <c r="Q21" s="3"/>
      <c r="R21" s="3"/>
    </row>
    <row r="22" spans="1:18" ht="16" thickBot="1" x14ac:dyDescent="0.4">
      <c r="P22" s="3"/>
      <c r="Q22" s="3"/>
      <c r="R22" s="3"/>
    </row>
    <row r="23" spans="1:18" x14ac:dyDescent="0.35">
      <c r="A23" s="34" t="s">
        <v>27</v>
      </c>
      <c r="B23" s="35"/>
      <c r="C23" s="35"/>
      <c r="D23" s="36"/>
      <c r="E23" s="24"/>
      <c r="F23" s="35"/>
      <c r="G23" s="63" t="s">
        <v>28</v>
      </c>
      <c r="H23" s="24"/>
      <c r="I23" s="86">
        <v>1.4999999999999999E-2</v>
      </c>
      <c r="J23" s="25" t="s">
        <v>29</v>
      </c>
    </row>
    <row r="24" spans="1:18" x14ac:dyDescent="0.35">
      <c r="A24" s="37"/>
      <c r="B24" s="38"/>
      <c r="C24" s="38"/>
      <c r="D24" s="39"/>
      <c r="E24" s="38"/>
      <c r="F24" s="38"/>
      <c r="G24" s="26"/>
      <c r="H24" s="27"/>
      <c r="I24" s="87"/>
      <c r="J24" s="28"/>
    </row>
    <row r="25" spans="1:18" x14ac:dyDescent="0.35">
      <c r="A25" s="37"/>
      <c r="B25" s="38"/>
      <c r="C25" s="38"/>
      <c r="D25" s="40"/>
      <c r="E25" s="27"/>
      <c r="F25" s="38"/>
      <c r="G25" s="26" t="s">
        <v>30</v>
      </c>
      <c r="H25" s="27"/>
      <c r="I25" s="88">
        <f>(I27-I23)*I29</f>
        <v>8.8000000000000023E-2</v>
      </c>
      <c r="J25" s="28"/>
    </row>
    <row r="26" spans="1:18" x14ac:dyDescent="0.35">
      <c r="A26" s="37"/>
      <c r="B26" s="38"/>
      <c r="C26" s="38"/>
      <c r="D26" s="40"/>
      <c r="E26" s="27"/>
      <c r="F26" s="38"/>
      <c r="G26" s="26"/>
      <c r="H26" s="27"/>
      <c r="I26" s="87"/>
      <c r="J26" s="28"/>
    </row>
    <row r="27" spans="1:18" x14ac:dyDescent="0.35">
      <c r="A27" s="37"/>
      <c r="B27" s="38"/>
      <c r="C27" s="38"/>
      <c r="D27" s="40"/>
      <c r="E27" s="27"/>
      <c r="F27" s="38"/>
      <c r="G27" s="26" t="s">
        <v>31</v>
      </c>
      <c r="H27" s="27"/>
      <c r="I27" s="89">
        <v>7.0000000000000007E-2</v>
      </c>
      <c r="J27" s="28" t="s">
        <v>32</v>
      </c>
    </row>
    <row r="28" spans="1:18" x14ac:dyDescent="0.35">
      <c r="A28" s="37"/>
      <c r="B28" s="38"/>
      <c r="C28" s="38"/>
      <c r="D28" s="41"/>
      <c r="E28" s="27"/>
      <c r="F28" s="38"/>
      <c r="G28" s="26"/>
      <c r="H28" s="27"/>
      <c r="I28" s="87"/>
      <c r="J28" s="28"/>
    </row>
    <row r="29" spans="1:18" x14ac:dyDescent="0.35">
      <c r="A29" s="37"/>
      <c r="B29" s="38"/>
      <c r="C29" s="38"/>
      <c r="D29" s="41"/>
      <c r="E29" s="27"/>
      <c r="F29" s="38"/>
      <c r="G29" s="26" t="s">
        <v>38</v>
      </c>
      <c r="H29" s="27"/>
      <c r="I29" s="87">
        <v>1.6</v>
      </c>
      <c r="J29" s="28" t="s">
        <v>33</v>
      </c>
    </row>
    <row r="30" spans="1:18" x14ac:dyDescent="0.35">
      <c r="A30" s="37"/>
      <c r="B30" s="38"/>
      <c r="C30" s="38"/>
      <c r="D30" s="42"/>
      <c r="E30" s="27"/>
      <c r="F30" s="38"/>
      <c r="G30" s="26"/>
      <c r="H30" s="27"/>
      <c r="I30" s="87"/>
      <c r="J30" s="28"/>
    </row>
    <row r="31" spans="1:18" x14ac:dyDescent="0.35">
      <c r="A31" s="37"/>
      <c r="B31" s="38"/>
      <c r="C31" s="38"/>
      <c r="D31" s="39"/>
      <c r="E31" s="27"/>
      <c r="F31" s="38"/>
      <c r="G31" s="26" t="s">
        <v>34</v>
      </c>
      <c r="H31" s="27"/>
      <c r="I31" s="89">
        <f>I23+(I27-I23)*I29</f>
        <v>0.10300000000000002</v>
      </c>
      <c r="J31" s="28" t="s">
        <v>35</v>
      </c>
    </row>
    <row r="32" spans="1:18" x14ac:dyDescent="0.3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35">
      <c r="A33" s="26"/>
      <c r="B33" s="27"/>
      <c r="C33" s="27"/>
      <c r="D33" s="27"/>
      <c r="E33" s="27"/>
      <c r="F33" s="27"/>
      <c r="G33" s="83" t="s">
        <v>37</v>
      </c>
      <c r="H33" s="84"/>
      <c r="I33" s="85">
        <f>I31</f>
        <v>0.10300000000000002</v>
      </c>
      <c r="J33" s="28"/>
    </row>
    <row r="34" spans="1:10" x14ac:dyDescent="0.3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3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3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3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3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3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35">
      <c r="A40" s="26"/>
      <c r="B40" s="46"/>
      <c r="C40" s="46">
        <v>0.12</v>
      </c>
      <c r="D40" s="46" t="e">
        <f>((NPV(C40,$H$15:$R$15)+(#REF!*(1+#REF!)/(C40-#REF!))/(1+C40)^(2040-2020))/$D$50)/$C$51-1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35">
      <c r="A41" s="26"/>
      <c r="B41" s="46"/>
      <c r="C41" s="46">
        <v>0.14000000000000001</v>
      </c>
      <c r="D41" s="46" t="e">
        <f>((NPV(C41,$H$15:$R$15)+(#REF!*(1+#REF!)/(C41-#REF!))/(1+C41)^(2040-2020))/$D$50)/$C$51-1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35">
      <c r="A42" s="26"/>
      <c r="B42" s="46"/>
      <c r="C42" s="46">
        <v>0.16</v>
      </c>
      <c r="D42" s="46" t="e">
        <f>((NPV(C42,$H$15:$R$15)+(#REF!*(1+#REF!)/(C42-#REF!))/(1+C42)^(2040-2020))/$D$50)/$C$51-1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35">
      <c r="A43" s="26"/>
      <c r="B43" s="46"/>
      <c r="C43" s="46">
        <v>0.18</v>
      </c>
      <c r="D43" s="46" t="e">
        <f>((NPV(C43,$H$15:$R$15)+(#REF!*(1+#REF!)/(C43-#REF!))/(1+C43)^(2040-2020))/$D$50)/$C$51-1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35">
      <c r="A44" s="26"/>
      <c r="B44" s="46"/>
      <c r="C44" s="46">
        <v>0.2</v>
      </c>
      <c r="D44" s="46" t="e">
        <f>((NPV(C44,$H$15:$R$15)+(#REF!*(1+#REF!)/(C44-#REF!))/(1+C44)^(2040-2020))/$D$50)/$C$51-1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3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" thickBot="1" x14ac:dyDescent="0.4">
      <c r="A46" s="30"/>
      <c r="B46" s="31" t="s">
        <v>23</v>
      </c>
      <c r="C46" s="31"/>
      <c r="D46" s="47">
        <f>I33</f>
        <v>0.10300000000000002</v>
      </c>
      <c r="E46" s="31"/>
      <c r="F46" s="31"/>
      <c r="G46" s="30"/>
      <c r="H46" s="31"/>
      <c r="I46" s="31"/>
      <c r="J46" s="32"/>
    </row>
    <row r="48" spans="1:10" x14ac:dyDescent="0.35">
      <c r="A48" s="17"/>
      <c r="B48" s="18"/>
      <c r="C48" s="94">
        <v>44715</v>
      </c>
      <c r="D48" s="19" t="s">
        <v>3</v>
      </c>
      <c r="E48" s="20"/>
      <c r="F48" s="21"/>
      <c r="G48" s="22"/>
      <c r="H48" s="22"/>
      <c r="I48" s="22"/>
    </row>
    <row r="49" spans="1:17" x14ac:dyDescent="0.35">
      <c r="A49" s="48" t="s">
        <v>0</v>
      </c>
      <c r="B49" s="49" t="s">
        <v>5</v>
      </c>
      <c r="C49" s="77">
        <f>C50*C51</f>
        <v>468400.11060000007</v>
      </c>
      <c r="D49" s="51">
        <f>SUM(H19:R19)</f>
        <v>317037.01900017995</v>
      </c>
      <c r="E49" s="49" t="s">
        <v>46</v>
      </c>
    </row>
    <row r="50" spans="1:17" x14ac:dyDescent="0.35">
      <c r="A50" s="48"/>
      <c r="B50" s="49" t="s">
        <v>11</v>
      </c>
      <c r="C50" s="50">
        <v>2504.0100000000002</v>
      </c>
      <c r="D50" s="50">
        <v>2504.0100000000002</v>
      </c>
      <c r="E50" s="49"/>
    </row>
    <row r="51" spans="1:17" x14ac:dyDescent="0.35">
      <c r="A51" s="48"/>
      <c r="B51" s="49" t="s">
        <v>13</v>
      </c>
      <c r="C51" s="49">
        <v>187.06</v>
      </c>
      <c r="D51" s="60">
        <f>D49/(D50)</f>
        <v>126.61172239734663</v>
      </c>
      <c r="E51" s="49" t="s">
        <v>46</v>
      </c>
    </row>
    <row r="52" spans="1:17" x14ac:dyDescent="0.35">
      <c r="A52" s="48"/>
      <c r="B52" s="49" t="s">
        <v>2</v>
      </c>
      <c r="C52" s="49"/>
      <c r="D52" s="61">
        <f>IF(C51/D51-1&gt;0,0,C51/D51-1)*-1</f>
        <v>0</v>
      </c>
      <c r="E52" s="49"/>
    </row>
    <row r="53" spans="1:17" x14ac:dyDescent="0.35">
      <c r="A53" s="48"/>
      <c r="B53" s="49" t="s">
        <v>14</v>
      </c>
      <c r="C53" s="49"/>
      <c r="D53" s="62">
        <f>IF(C51/D51-1&lt;0,0,C51/D51-1)</f>
        <v>0.47743033945109792</v>
      </c>
      <c r="E53" s="49"/>
    </row>
    <row r="54" spans="1:17" x14ac:dyDescent="0.35">
      <c r="A54" s="49"/>
      <c r="B54" s="49"/>
      <c r="C54" s="49"/>
      <c r="D54" s="52"/>
      <c r="E54" s="52"/>
    </row>
    <row r="55" spans="1:17" x14ac:dyDescent="0.35">
      <c r="A55" s="52" t="s">
        <v>22</v>
      </c>
      <c r="B55" s="49"/>
      <c r="C55" s="54">
        <f>D46</f>
        <v>0.10300000000000002</v>
      </c>
      <c r="D55" s="53"/>
      <c r="E55" s="49"/>
      <c r="J55" s="76"/>
    </row>
    <row r="56" spans="1:17" x14ac:dyDescent="0.35">
      <c r="A56" s="52"/>
      <c r="B56" s="49"/>
      <c r="C56" s="54"/>
      <c r="D56" s="53"/>
      <c r="E56" s="49"/>
    </row>
    <row r="57" spans="1:17" hidden="1" x14ac:dyDescent="0.35">
      <c r="A57" s="52" t="s">
        <v>25</v>
      </c>
      <c r="B57" s="80">
        <v>0.108</v>
      </c>
      <c r="C57" s="54"/>
      <c r="D57" s="81">
        <f>SUM(H57:Q57)*1000</f>
        <v>282590719.4867112</v>
      </c>
      <c r="E57" s="49"/>
      <c r="F57" s="1" t="s">
        <v>26</v>
      </c>
      <c r="H57" s="1">
        <f>H15/(1+$B$57)</f>
        <v>10438.240072202165</v>
      </c>
      <c r="I57" s="1">
        <f>I15/(1+$B$57)^2</f>
        <v>12163.58873437683</v>
      </c>
      <c r="J57" s="1">
        <f>J15/(1+$B$57)^3</f>
        <v>12074.647548761914</v>
      </c>
      <c r="K57" s="1">
        <f>K15/(1+$B$57)^4</f>
        <v>12585.421510011411</v>
      </c>
      <c r="L57" s="1">
        <f>L15/(1+$B$57)^5</f>
        <v>16255.152342185131</v>
      </c>
      <c r="M57" s="1">
        <f>M15/(1+$B$57)^6</f>
        <v>15896.628023346037</v>
      </c>
      <c r="N57" s="1">
        <f>N15/(1+$B$57)^7</f>
        <v>15809.832930891966</v>
      </c>
      <c r="O57" s="1">
        <f>O15/(1+$B$57)^8</f>
        <v>15410.306466934406</v>
      </c>
      <c r="P57" s="1">
        <f>P15/(1+$B$57)^9</f>
        <v>14603.629774621955</v>
      </c>
      <c r="Q57" s="1">
        <f>(R15/(B57-R12))/(1+B57)^10</f>
        <v>157353.27208337942</v>
      </c>
    </row>
    <row r="58" spans="1:17" ht="16" thickBot="1" x14ac:dyDescent="0.4">
      <c r="A58" s="23"/>
      <c r="C58" s="71"/>
      <c r="D58" s="72"/>
    </row>
    <row r="59" spans="1:17" x14ac:dyDescent="0.35">
      <c r="A59" s="63" t="s">
        <v>43</v>
      </c>
      <c r="B59" s="24"/>
      <c r="C59" s="73">
        <v>35</v>
      </c>
      <c r="D59" s="24"/>
      <c r="E59" s="25"/>
    </row>
    <row r="60" spans="1:17" x14ac:dyDescent="0.35">
      <c r="A60" s="26" t="s">
        <v>24</v>
      </c>
      <c r="B60" s="27"/>
      <c r="C60" s="74"/>
      <c r="D60" s="27"/>
      <c r="E60" s="28"/>
    </row>
    <row r="61" spans="1:17" x14ac:dyDescent="0.35">
      <c r="A61" s="26"/>
      <c r="B61" s="27"/>
      <c r="C61" s="74"/>
      <c r="D61" s="27"/>
      <c r="E61" s="28"/>
    </row>
    <row r="62" spans="1:17" x14ac:dyDescent="0.35">
      <c r="A62" s="26" t="s">
        <v>40</v>
      </c>
      <c r="B62" s="27"/>
      <c r="C62" s="74"/>
      <c r="D62" s="27"/>
      <c r="E62" s="64">
        <f>Q17*C59</f>
        <v>533.94739738255896</v>
      </c>
    </row>
    <row r="63" spans="1:17" x14ac:dyDescent="0.35">
      <c r="A63" s="26"/>
      <c r="B63" s="27"/>
      <c r="C63" s="74"/>
      <c r="D63" s="27"/>
      <c r="E63" s="28"/>
    </row>
    <row r="64" spans="1:17" x14ac:dyDescent="0.35">
      <c r="A64" s="26" t="s">
        <v>17</v>
      </c>
      <c r="B64" s="27"/>
      <c r="C64" s="75">
        <v>0.05</v>
      </c>
      <c r="D64" s="27"/>
      <c r="E64" s="28"/>
    </row>
    <row r="65" spans="1:5" x14ac:dyDescent="0.35">
      <c r="A65" s="26"/>
      <c r="B65" s="27"/>
      <c r="C65" s="27"/>
      <c r="D65" s="27"/>
      <c r="E65" s="28"/>
    </row>
    <row r="66" spans="1:5" x14ac:dyDescent="0.35">
      <c r="A66" s="26" t="s">
        <v>18</v>
      </c>
      <c r="B66" s="27"/>
      <c r="C66" s="27"/>
      <c r="D66" s="27"/>
      <c r="E66" s="64">
        <f>SUM(H17:R17)*C64</f>
        <v>5.2300031382126386</v>
      </c>
    </row>
    <row r="67" spans="1:5" x14ac:dyDescent="0.35">
      <c r="A67" s="26"/>
      <c r="B67" s="27"/>
      <c r="C67" s="27"/>
      <c r="D67" s="27"/>
      <c r="E67" s="65"/>
    </row>
    <row r="68" spans="1:5" x14ac:dyDescent="0.35">
      <c r="A68" s="66" t="s">
        <v>44</v>
      </c>
      <c r="B68" s="27"/>
      <c r="C68" s="27"/>
      <c r="D68" s="27"/>
      <c r="E68" s="67">
        <f>(E66*0.3)*-1</f>
        <v>-1.5690009414637915</v>
      </c>
    </row>
    <row r="69" spans="1:5" x14ac:dyDescent="0.35">
      <c r="A69" s="26"/>
      <c r="B69" s="27"/>
      <c r="C69" s="46"/>
      <c r="D69" s="46"/>
      <c r="E69" s="68"/>
    </row>
    <row r="70" spans="1:5" x14ac:dyDescent="0.35">
      <c r="A70" s="26" t="s">
        <v>19</v>
      </c>
      <c r="B70" s="27"/>
      <c r="C70" s="27"/>
      <c r="D70" s="27"/>
      <c r="E70" s="64">
        <f>SUM(E62:E68)</f>
        <v>537.60839957930784</v>
      </c>
    </row>
    <row r="71" spans="1:5" x14ac:dyDescent="0.35">
      <c r="A71" s="26"/>
      <c r="B71" s="27"/>
      <c r="C71" s="27"/>
      <c r="D71" s="27"/>
      <c r="E71" s="64"/>
    </row>
    <row r="72" spans="1:5" x14ac:dyDescent="0.35">
      <c r="A72" s="26" t="s">
        <v>20</v>
      </c>
      <c r="B72" s="27"/>
      <c r="C72" s="27"/>
      <c r="D72" s="27"/>
      <c r="E72" s="68">
        <f>E70/C51-1</f>
        <v>1.8739890921592424</v>
      </c>
    </row>
    <row r="73" spans="1:5" x14ac:dyDescent="0.35">
      <c r="A73" s="26"/>
      <c r="B73" s="27"/>
      <c r="C73" s="27"/>
      <c r="D73" s="27"/>
      <c r="E73" s="28"/>
    </row>
    <row r="74" spans="1:5" ht="16" thickBot="1" x14ac:dyDescent="0.4">
      <c r="A74" s="69" t="s">
        <v>21</v>
      </c>
      <c r="B74" s="70"/>
      <c r="C74" s="70"/>
      <c r="D74" s="70"/>
      <c r="E74" s="92">
        <f>(E70/C51)^(1/10)-1</f>
        <v>0.11134400615126561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2022-06-03T20:35:41Z</dcterms:modified>
</cp:coreProperties>
</file>