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D87CD331-E251-4BB4-B607-1DBE3FA6D92E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32" l="1"/>
  <c r="C52" i="34"/>
  <c r="J12" i="32" l="1"/>
  <c r="J12" i="34"/>
  <c r="I12" i="32" l="1"/>
  <c r="H14" i="34" l="1"/>
  <c r="I14" i="34"/>
  <c r="G14" i="34"/>
  <c r="D14" i="34"/>
  <c r="E14" i="34"/>
  <c r="F14" i="34"/>
  <c r="C14" i="34"/>
  <c r="K11" i="34"/>
  <c r="H12" i="34"/>
  <c r="I12" i="34"/>
  <c r="G12" i="34"/>
  <c r="E12" i="34"/>
  <c r="F12" i="34"/>
  <c r="D12" i="34"/>
  <c r="J14" i="34" l="1"/>
  <c r="D14" i="32"/>
  <c r="E14" i="32"/>
  <c r="F14" i="32"/>
  <c r="G14" i="32"/>
  <c r="H14" i="32"/>
  <c r="C14" i="32"/>
  <c r="D50" i="32"/>
  <c r="D50" i="34"/>
  <c r="D12" i="32" l="1"/>
  <c r="E12" i="32"/>
  <c r="F12" i="32"/>
  <c r="G12" i="32"/>
  <c r="H12" i="32"/>
  <c r="G18" i="34" l="1"/>
  <c r="H18" i="34" s="1"/>
  <c r="I18" i="34" s="1"/>
  <c r="J18" i="34" s="1"/>
  <c r="K18" i="34" s="1"/>
  <c r="L18" i="34" s="1"/>
  <c r="M18" i="34" s="1"/>
  <c r="N18" i="34" s="1"/>
  <c r="O18" i="34" s="1"/>
  <c r="P18" i="34" s="1"/>
  <c r="C16" i="34"/>
  <c r="H16" i="34"/>
  <c r="G16" i="34"/>
  <c r="F16" i="34"/>
  <c r="E16" i="34"/>
  <c r="D16" i="34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C49" i="32"/>
  <c r="G17" i="34" l="1"/>
  <c r="H17" i="34"/>
  <c r="G17" i="32" l="1"/>
  <c r="C49" i="34" l="1"/>
  <c r="I31" i="34"/>
  <c r="I33" i="34" s="1"/>
  <c r="D46" i="34" s="1"/>
  <c r="C56" i="34" s="1"/>
  <c r="I25" i="34"/>
  <c r="I58" i="32"/>
  <c r="I31" i="32"/>
  <c r="I33" i="32" s="1"/>
  <c r="D46" i="32" s="1"/>
  <c r="C56" i="32" s="1"/>
  <c r="I25" i="32"/>
  <c r="C16" i="32"/>
  <c r="H19" i="34" l="1"/>
  <c r="G19" i="34"/>
  <c r="H58" i="34"/>
  <c r="I58" i="34"/>
  <c r="H16" i="32"/>
  <c r="H17" i="32"/>
  <c r="G19" i="32"/>
  <c r="H19" i="32"/>
  <c r="H58" i="32"/>
  <c r="G16" i="32"/>
  <c r="F16" i="32" l="1"/>
  <c r="E16" i="32"/>
  <c r="D16" i="32"/>
  <c r="K11" i="32" l="1"/>
  <c r="K14" i="32" s="1"/>
  <c r="I14" i="32"/>
  <c r="J14" i="32" l="1"/>
  <c r="J17" i="32" s="1"/>
  <c r="J58" i="32"/>
  <c r="I16" i="32"/>
  <c r="I17" i="32"/>
  <c r="I19" i="32"/>
  <c r="K15" i="32"/>
  <c r="L11" i="32"/>
  <c r="J16" i="32" l="1"/>
  <c r="J19" i="32"/>
  <c r="K58" i="32"/>
  <c r="L14" i="32"/>
  <c r="L15" i="32" s="1"/>
  <c r="M11" i="32"/>
  <c r="L58" i="32"/>
  <c r="K17" i="32"/>
  <c r="K19" i="32"/>
  <c r="N11" i="32" l="1"/>
  <c r="M14" i="32"/>
  <c r="M15" i="32" s="1"/>
  <c r="L17" i="32"/>
  <c r="M58" i="32"/>
  <c r="L19" i="32"/>
  <c r="M19" i="32" l="1"/>
  <c r="N58" i="32"/>
  <c r="M17" i="32"/>
  <c r="N14" i="32"/>
  <c r="N15" i="32" s="1"/>
  <c r="O11" i="32"/>
  <c r="P11" i="32" l="1"/>
  <c r="O14" i="32"/>
  <c r="O15" i="32" s="1"/>
  <c r="N17" i="32"/>
  <c r="N19" i="32"/>
  <c r="O58" i="32"/>
  <c r="P58" i="32" l="1"/>
  <c r="O19" i="32"/>
  <c r="O17" i="32"/>
  <c r="P14" i="32"/>
  <c r="P15" i="32" s="1"/>
  <c r="Q11" i="32"/>
  <c r="Q14" i="32" s="1"/>
  <c r="Q15" i="32" s="1"/>
  <c r="D41" i="32" s="1"/>
  <c r="P17" i="32" l="1"/>
  <c r="E63" i="32" s="1"/>
  <c r="P19" i="32"/>
  <c r="D43" i="32"/>
  <c r="D44" i="32"/>
  <c r="D42" i="32"/>
  <c r="Q19" i="32"/>
  <c r="Q58" i="32"/>
  <c r="D58" i="32" s="1"/>
  <c r="D40" i="32"/>
  <c r="D49" i="32" l="1"/>
  <c r="D51" i="32" s="1"/>
  <c r="E67" i="32"/>
  <c r="E69" i="32" s="1"/>
  <c r="D54" i="32" l="1"/>
  <c r="D52" i="32"/>
  <c r="D53" i="32"/>
  <c r="E71" i="32"/>
  <c r="E75" i="32" l="1"/>
  <c r="E73" i="32"/>
  <c r="K14" i="34" l="1"/>
  <c r="K15" i="34" s="1"/>
  <c r="K58" i="34" l="1"/>
  <c r="J17" i="34"/>
  <c r="J19" i="34"/>
  <c r="J16" i="34"/>
  <c r="L11" i="34"/>
  <c r="L58" i="34" l="1"/>
  <c r="K19" i="34"/>
  <c r="K17" i="34"/>
  <c r="L14" i="34"/>
  <c r="L15" i="34" s="1"/>
  <c r="M11" i="34"/>
  <c r="M14" i="34" l="1"/>
  <c r="M15" i="34" s="1"/>
  <c r="N11" i="34"/>
  <c r="M58" i="34"/>
  <c r="L19" i="34"/>
  <c r="L17" i="34"/>
  <c r="M17" i="34" l="1"/>
  <c r="N58" i="34"/>
  <c r="M19" i="34"/>
  <c r="N14" i="34"/>
  <c r="N15" i="34" s="1"/>
  <c r="O11" i="34"/>
  <c r="O14" i="34" l="1"/>
  <c r="O15" i="34" s="1"/>
  <c r="P11" i="34"/>
  <c r="O58" i="34"/>
  <c r="N19" i="34"/>
  <c r="N17" i="34"/>
  <c r="Q11" i="34" l="1"/>
  <c r="Q14" i="34" s="1"/>
  <c r="Q15" i="34" s="1"/>
  <c r="P14" i="34"/>
  <c r="P15" i="34" s="1"/>
  <c r="O17" i="34"/>
  <c r="P58" i="34"/>
  <c r="O19" i="34"/>
  <c r="P19" i="34" l="1"/>
  <c r="P17" i="34"/>
  <c r="Q58" i="34"/>
  <c r="Q19" i="34"/>
  <c r="E63" i="34" l="1"/>
  <c r="J58" i="34" l="1"/>
  <c r="D58" i="34" s="1"/>
  <c r="I16" i="34"/>
  <c r="D44" i="34"/>
  <c r="D41" i="34"/>
  <c r="D43" i="34"/>
  <c r="D40" i="34"/>
  <c r="I19" i="34"/>
  <c r="D49" i="34" s="1"/>
  <c r="D51" i="34" s="1"/>
  <c r="D42" i="34"/>
  <c r="I17" i="34"/>
  <c r="E67" i="34" s="1"/>
  <c r="D54" i="34" l="1"/>
  <c r="D52" i="34"/>
  <c r="D53" i="34"/>
  <c r="E69" i="34"/>
  <c r="E71" i="34" s="1"/>
  <c r="E75" i="34" l="1"/>
  <c r="E73" i="34"/>
</calcChain>
</file>

<file path=xl/sharedStrings.xml><?xml version="1.0" encoding="utf-8"?>
<sst xmlns="http://schemas.openxmlformats.org/spreadsheetml/2006/main" count="104" uniqueCount="50">
  <si>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</si>
  <si>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</si>
  <si>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</si>
  <si>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</si>
  <si>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</si>
  <si>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</si>
  <si>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</si>
  <si>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</si>
  <si>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</si>
  <si>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</si>
  <si>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</si>
  <si>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</si>
  <si>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</si>
  <si>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</si>
  <si>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</si>
  <si>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</si>
  <si>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</si>
  <si>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</si>
  <si>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</si>
  <si>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</si>
  <si>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</si>
  <si>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</si>
  <si>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</si>
  <si>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</si>
  <si>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</si>
  <si>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</si>
  <si>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</si>
  <si>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</si>
  <si>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</si>
  <si>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</si>
  <si>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</si>
  <si>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</si>
  <si>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</si>
  <si>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</si>
  <si>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</si>
  <si>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</si>
  <si>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</si>
  <si>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</si>
  <si>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</si>
  <si>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</si>
  <si>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</si>
  <si>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</si>
  <si>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</si>
  <si>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KGV Multiple in 2031</t>
  </si>
  <si>
    <t>USD</t>
  </si>
  <si>
    <t>Quellensteuer USA (25 %)</t>
  </si>
  <si>
    <t xml:space="preserve"> Annahmen für Alphabet</t>
  </si>
  <si>
    <t>2032ff.</t>
  </si>
  <si>
    <t>Kurs pro Aktie (Splitbereinigt)</t>
  </si>
  <si>
    <t>16.07.22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</si>
</sst>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3" fillId="2" borderId="0" xfId="1" applyNumberFormat="1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5" fillId="2" borderId="0" xfId="0" applyNumberFormat="1" applyFont="1" applyFill="1" applyBorder="1"/>
    <xf numFmtId="9" fontId="0" fillId="2" borderId="0" xfId="1" applyFont="1" applyFill="1" applyBorder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4" fontId="9" fillId="5" borderId="0" xfId="0" applyNumberFormat="1" applyFont="1" applyFill="1"/>
    <xf numFmtId="165" fontId="0" fillId="10" borderId="10" xfId="1" applyNumberFormat="1" applyFont="1" applyFill="1" applyBorder="1"/>
    <xf numFmtId="9" fontId="0" fillId="2" borderId="0" xfId="0" applyNumberForma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Border="1"/>
    <xf numFmtId="10" fontId="10" fillId="2" borderId="0" xfId="0" applyNumberFormat="1" applyFont="1" applyFill="1" applyBorder="1"/>
    <xf numFmtId="9" fontId="9" fillId="6" borderId="0" xfId="1" applyFont="1" applyFill="1"/>
    <xf numFmtId="0" fontId="0" fillId="10" borderId="9" xfId="0" applyFont="1" applyFill="1" applyBorder="1"/>
    <xf numFmtId="0" fontId="0" fillId="10" borderId="10" xfId="0" applyFont="1" applyFill="1" applyBorder="1"/>
    <xf numFmtId="10" fontId="0" fillId="2" borderId="0" xfId="1" applyNumberFormat="1" applyFont="1" applyFill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5"/>
  <sheetViews>
    <sheetView tabSelected="1" topLeftCell="A29" zoomScaleNormal="100" workbookViewId="0">
      <selection activeCell="I30" sqref="I3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2" t="s">
        <v>10</v>
      </c>
    </row>
    <row r="4" spans="1:28" x14ac:dyDescent="0.25">
      <c r="B4" s="22" t="s">
        <v>46</v>
      </c>
      <c r="L4" s="26"/>
      <c r="M4" s="26"/>
      <c r="N4" s="26"/>
      <c r="O4" s="26"/>
      <c r="P4" s="26"/>
      <c r="Q4" s="26"/>
      <c r="R4" s="26"/>
      <c r="S4" s="26"/>
    </row>
    <row r="5" spans="1:28" x14ac:dyDescent="0.25">
      <c r="L5" s="26"/>
      <c r="M5" s="26"/>
      <c r="N5" s="26"/>
      <c r="O5" s="26"/>
      <c r="P5" s="26"/>
      <c r="Q5" s="26"/>
      <c r="R5" s="26"/>
      <c r="S5" s="26"/>
    </row>
    <row r="6" spans="1:28" x14ac:dyDescent="0.2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47</v>
      </c>
    </row>
    <row r="11" spans="1:28" x14ac:dyDescent="0.25">
      <c r="A11" s="5"/>
      <c r="B11" s="4" t="s">
        <v>4</v>
      </c>
      <c r="C11" s="88">
        <v>136958</v>
      </c>
      <c r="D11" s="88">
        <v>161402</v>
      </c>
      <c r="E11" s="88">
        <v>182350</v>
      </c>
      <c r="F11" s="88">
        <v>257488</v>
      </c>
      <c r="G11" s="77">
        <v>295947.8</v>
      </c>
      <c r="H11" s="77">
        <v>339053.02</v>
      </c>
      <c r="I11" s="77">
        <v>385624.08</v>
      </c>
      <c r="J11" s="77">
        <v>422862.12</v>
      </c>
      <c r="K11" s="77">
        <f>J11*(1+K12)</f>
        <v>448233.84720000002</v>
      </c>
      <c r="L11" s="77">
        <f>K11*(1+L12)</f>
        <v>466163.20108800003</v>
      </c>
      <c r="M11" s="77">
        <f t="shared" ref="M11:Q11" si="0">L11*(1+M12)</f>
        <v>484809.72913152003</v>
      </c>
      <c r="N11" s="77">
        <f t="shared" si="0"/>
        <v>499354.02100546565</v>
      </c>
      <c r="O11" s="77">
        <f t="shared" si="0"/>
        <v>509341.10142557498</v>
      </c>
      <c r="P11" s="77">
        <f t="shared" si="0"/>
        <v>519527.92345408647</v>
      </c>
      <c r="Q11" s="77">
        <f t="shared" si="0"/>
        <v>527320.84230589774</v>
      </c>
    </row>
    <row r="12" spans="1:28" x14ac:dyDescent="0.25">
      <c r="A12" s="5"/>
      <c r="B12" s="4" t="s">
        <v>1</v>
      </c>
      <c r="C12" s="94"/>
      <c r="D12" s="97">
        <f>D11/C11-1</f>
        <v>0.17847807356999956</v>
      </c>
      <c r="E12" s="97">
        <f t="shared" ref="E12:F12" si="1">E11/D11-1</f>
        <v>0.12978773497230511</v>
      </c>
      <c r="F12" s="97">
        <f t="shared" si="1"/>
        <v>0.41205374280230322</v>
      </c>
      <c r="G12" s="93">
        <f>G11/F11-1</f>
        <v>0.14936540731995263</v>
      </c>
      <c r="H12" s="93">
        <f t="shared" ref="H12:J12" si="2">H11/G11-1</f>
        <v>0.14565142906958606</v>
      </c>
      <c r="I12" s="93">
        <f t="shared" si="2"/>
        <v>0.13735627542854512</v>
      </c>
      <c r="J12" s="93">
        <f t="shared" si="2"/>
        <v>9.6565650153382476E-2</v>
      </c>
      <c r="K12" s="93">
        <v>0.06</v>
      </c>
      <c r="L12" s="76">
        <v>0.04</v>
      </c>
      <c r="M12" s="76">
        <v>0.04</v>
      </c>
      <c r="N12" s="76">
        <v>0.03</v>
      </c>
      <c r="O12" s="76">
        <v>0.02</v>
      </c>
      <c r="P12" s="76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6">
        <v>0.23019999999999999</v>
      </c>
      <c r="D13" s="96">
        <v>0.2198</v>
      </c>
      <c r="E13" s="96">
        <v>0.22509999999999999</v>
      </c>
      <c r="F13" s="96">
        <v>0.30509999999999998</v>
      </c>
      <c r="G13" s="92">
        <v>0.28949999999999998</v>
      </c>
      <c r="H13" s="92">
        <v>0.29120000000000001</v>
      </c>
      <c r="I13" s="92">
        <v>0.29380000000000001</v>
      </c>
      <c r="J13" s="92">
        <v>0.30370000000000003</v>
      </c>
      <c r="K13" s="92">
        <v>0.3</v>
      </c>
      <c r="L13" s="92">
        <v>0.31</v>
      </c>
      <c r="M13" s="92">
        <v>0.3</v>
      </c>
      <c r="N13" s="92">
        <v>0.3</v>
      </c>
      <c r="O13" s="92">
        <v>0.28999999999999998</v>
      </c>
      <c r="P13" s="92">
        <v>0.3</v>
      </c>
      <c r="Q13" s="92">
        <v>0.3</v>
      </c>
    </row>
    <row r="14" spans="1:28" ht="17.100000000000001" customHeight="1" x14ac:dyDescent="0.25">
      <c r="A14" s="5"/>
      <c r="B14" s="4" t="s">
        <v>16</v>
      </c>
      <c r="C14" s="88">
        <f>C11*C13</f>
        <v>31527.731599999999</v>
      </c>
      <c r="D14" s="88">
        <f t="shared" ref="D14:F14" si="3">D11*D13</f>
        <v>35476.159599999999</v>
      </c>
      <c r="E14" s="88">
        <f t="shared" si="3"/>
        <v>41046.985000000001</v>
      </c>
      <c r="F14" s="88">
        <f t="shared" si="3"/>
        <v>78559.588799999998</v>
      </c>
      <c r="G14" s="77">
        <f>G11*G13</f>
        <v>85676.888099999996</v>
      </c>
      <c r="H14" s="77">
        <f t="shared" ref="H14:J14" si="4">H11*H13</f>
        <v>98732.239424000014</v>
      </c>
      <c r="I14" s="77">
        <f t="shared" si="4"/>
        <v>113296.35470400001</v>
      </c>
      <c r="J14" s="77">
        <f t="shared" si="4"/>
        <v>128423.22584400002</v>
      </c>
      <c r="K14" s="77">
        <f t="shared" ref="K14:Q14" si="5">K11*K13</f>
        <v>134470.15416000001</v>
      </c>
      <c r="L14" s="77">
        <f t="shared" si="5"/>
        <v>144510.59233728002</v>
      </c>
      <c r="M14" s="77">
        <f t="shared" si="5"/>
        <v>145442.91873945601</v>
      </c>
      <c r="N14" s="77">
        <f t="shared" si="5"/>
        <v>149806.2063016397</v>
      </c>
      <c r="O14" s="77">
        <f t="shared" si="5"/>
        <v>147708.91941341673</v>
      </c>
      <c r="P14" s="77">
        <f t="shared" si="5"/>
        <v>155858.37703622592</v>
      </c>
      <c r="Q14" s="77">
        <f t="shared" si="5"/>
        <v>158196.2526917693</v>
      </c>
    </row>
    <row r="15" spans="1:28" x14ac:dyDescent="0.25">
      <c r="A15" s="109">
        <v>0.2</v>
      </c>
      <c r="B15" s="4" t="s">
        <v>42</v>
      </c>
      <c r="C15" s="88">
        <v>30733.38</v>
      </c>
      <c r="D15" s="88">
        <v>34346.35</v>
      </c>
      <c r="E15" s="88">
        <v>40262.879999999997</v>
      </c>
      <c r="F15" s="88">
        <v>76036</v>
      </c>
      <c r="G15" s="77">
        <v>72832.75</v>
      </c>
      <c r="H15" s="77">
        <v>84966.69</v>
      </c>
      <c r="I15" s="77">
        <v>96868.77</v>
      </c>
      <c r="J15" s="77">
        <v>114426.49</v>
      </c>
      <c r="K15" s="77">
        <f>K14*(1-$A$15)</f>
        <v>107576.12332800002</v>
      </c>
      <c r="L15" s="77">
        <f>L14*(1-$A$15)</f>
        <v>115608.47386982403</v>
      </c>
      <c r="M15" s="77">
        <f t="shared" ref="M15:P15" si="6">M14*(1-$A$15)</f>
        <v>116354.33499156481</v>
      </c>
      <c r="N15" s="77">
        <f t="shared" si="6"/>
        <v>119844.96504131176</v>
      </c>
      <c r="O15" s="77">
        <f t="shared" si="6"/>
        <v>118167.13553073339</v>
      </c>
      <c r="P15" s="77">
        <f t="shared" si="6"/>
        <v>124686.70162898075</v>
      </c>
      <c r="Q15" s="77">
        <f>Q14*(1-$A$15)</f>
        <v>126557.00215341545</v>
      </c>
    </row>
    <row r="16" spans="1:28" ht="32.25" hidden="1" thickBot="1" x14ac:dyDescent="0.3">
      <c r="A16" s="13" t="s">
        <v>6</v>
      </c>
      <c r="B16" s="14"/>
      <c r="C16" s="15">
        <f t="shared" ref="C16:J16" si="7">C15/C14</f>
        <v>0.97480467005751859</v>
      </c>
      <c r="D16" s="15">
        <f t="shared" si="7"/>
        <v>0.96815299026899182</v>
      </c>
      <c r="E16" s="15">
        <f t="shared" si="7"/>
        <v>0.98089737894269202</v>
      </c>
      <c r="F16" s="15">
        <f t="shared" si="7"/>
        <v>0.96787675650359317</v>
      </c>
      <c r="G16" s="15">
        <f t="shared" si="7"/>
        <v>0.85008631400094004</v>
      </c>
      <c r="H16" s="15">
        <f t="shared" si="7"/>
        <v>0.86057695536627465</v>
      </c>
      <c r="I16" s="15">
        <f t="shared" si="7"/>
        <v>0.85500341342032582</v>
      </c>
      <c r="J16" s="15">
        <f t="shared" si="7"/>
        <v>0.8910108685402256</v>
      </c>
    </row>
    <row r="17" spans="1:18" x14ac:dyDescent="0.25">
      <c r="A17" s="2" t="s">
        <v>39</v>
      </c>
      <c r="C17" s="88"/>
      <c r="D17" s="88"/>
      <c r="E17" s="88"/>
      <c r="F17" s="88"/>
      <c r="G17" s="77">
        <f>G15/G18</f>
        <v>110.60402429764616</v>
      </c>
      <c r="H17" s="77">
        <f t="shared" ref="H17:P17" si="8">H15/H18</f>
        <v>129.6790558716132</v>
      </c>
      <c r="I17" s="77">
        <f t="shared" si="8"/>
        <v>148.58735246268316</v>
      </c>
      <c r="J17" s="77">
        <f t="shared" si="8"/>
        <v>176.40120795280257</v>
      </c>
      <c r="K17" s="77">
        <f t="shared" si="8"/>
        <v>166.67397287455745</v>
      </c>
      <c r="L17" s="77">
        <f t="shared" si="8"/>
        <v>180.01905813989052</v>
      </c>
      <c r="M17" s="77">
        <f t="shared" si="8"/>
        <v>182.09092604845466</v>
      </c>
      <c r="N17" s="77">
        <f t="shared" si="8"/>
        <v>188.4961345024204</v>
      </c>
      <c r="O17" s="77">
        <f t="shared" si="8"/>
        <v>186.79114434109195</v>
      </c>
      <c r="P17" s="77">
        <f t="shared" si="8"/>
        <v>198.08729914529246</v>
      </c>
      <c r="Q17" s="77"/>
    </row>
    <row r="18" spans="1:18" ht="32.25" thickBot="1" x14ac:dyDescent="0.3">
      <c r="A18" s="2" t="s">
        <v>41</v>
      </c>
      <c r="C18" s="88"/>
      <c r="D18" s="88"/>
      <c r="E18" s="88"/>
      <c r="F18" s="88"/>
      <c r="G18" s="77">
        <f>D50</f>
        <v>658.5</v>
      </c>
      <c r="H18" s="77">
        <f>G18*0.995</f>
        <v>655.20749999999998</v>
      </c>
      <c r="I18" s="77">
        <f t="shared" ref="I18:P18" si="9">H18*0.995</f>
        <v>651.93146249999995</v>
      </c>
      <c r="J18" s="77">
        <f t="shared" si="9"/>
        <v>648.6718051874999</v>
      </c>
      <c r="K18" s="77">
        <f t="shared" si="9"/>
        <v>645.42844616156242</v>
      </c>
      <c r="L18" s="77">
        <f t="shared" si="9"/>
        <v>642.20130393075465</v>
      </c>
      <c r="M18" s="77">
        <f t="shared" si="9"/>
        <v>638.99029741110087</v>
      </c>
      <c r="N18" s="77">
        <f t="shared" si="9"/>
        <v>635.79534592404536</v>
      </c>
      <c r="O18" s="77">
        <f t="shared" si="9"/>
        <v>632.61636919442515</v>
      </c>
      <c r="P18" s="77">
        <f t="shared" si="9"/>
        <v>629.45328734845305</v>
      </c>
      <c r="Q18" s="77"/>
    </row>
    <row r="19" spans="1:18" ht="16.5" thickBot="1" x14ac:dyDescent="0.3">
      <c r="A19" s="2"/>
      <c r="E19" s="53" t="s">
        <v>12</v>
      </c>
      <c r="F19" s="54"/>
      <c r="G19" s="55">
        <f>G15/(1+$C$56)</f>
        <v>66513.92694063927</v>
      </c>
      <c r="H19" s="55">
        <f>H15/(1+$C$56)^2</f>
        <v>70863.151310439731</v>
      </c>
      <c r="I19" s="55">
        <f>I15/(1+$C$56)^3</f>
        <v>73780.471747450065</v>
      </c>
      <c r="J19" s="55">
        <f>J15/(1+$C$56)^4</f>
        <v>79592.124937562592</v>
      </c>
      <c r="K19" s="55">
        <f>K15/(1+$C$56)^5</f>
        <v>68335.329661719035</v>
      </c>
      <c r="L19" s="55">
        <f>L15/(1+$C$56)^6</f>
        <v>67066.393555367482</v>
      </c>
      <c r="M19" s="55">
        <f>M15/(1+$C$56)^7</f>
        <v>61642.995402193701</v>
      </c>
      <c r="N19" s="55">
        <f>N15/(1+$C$56)^8</f>
        <v>57983.822159141106</v>
      </c>
      <c r="O19" s="55">
        <f>O15/(1+$C$56)^9</f>
        <v>52211.916574349889</v>
      </c>
      <c r="P19" s="55">
        <f>P15/(1+$C$56)^10</f>
        <v>50312.853005041929</v>
      </c>
      <c r="Q19" s="56">
        <f>(Q15/(C56-Q12))/(1+C56)^10</f>
        <v>638344.32250146929</v>
      </c>
    </row>
    <row r="20" spans="1:18" x14ac:dyDescent="0.25">
      <c r="A20" s="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6"/>
      <c r="P20" s="3"/>
      <c r="Q20" s="3"/>
      <c r="R20" s="3"/>
    </row>
    <row r="21" spans="1:18" x14ac:dyDescent="0.25">
      <c r="A21" s="2"/>
      <c r="J21" s="112"/>
      <c r="K21" s="112"/>
      <c r="L21" s="112"/>
      <c r="M21" s="112"/>
      <c r="N21" s="112"/>
      <c r="O21" s="112"/>
      <c r="P21" s="112"/>
      <c r="Q21" s="112"/>
      <c r="R21" s="3"/>
    </row>
    <row r="22" spans="1:18" ht="16.5" thickBot="1" x14ac:dyDescent="0.3">
      <c r="P22" s="3"/>
      <c r="Q22" s="3"/>
      <c r="R22" s="3"/>
    </row>
    <row r="23" spans="1:18" x14ac:dyDescent="0.25">
      <c r="A23" s="33" t="s">
        <v>27</v>
      </c>
      <c r="B23" s="34"/>
      <c r="C23" s="34"/>
      <c r="D23" s="35"/>
      <c r="E23" s="23"/>
      <c r="F23" s="34"/>
      <c r="G23" s="98" t="s">
        <v>28</v>
      </c>
      <c r="H23" s="99"/>
      <c r="I23" s="100">
        <v>0.02</v>
      </c>
      <c r="J23" s="24" t="s">
        <v>29</v>
      </c>
    </row>
    <row r="24" spans="1:18" x14ac:dyDescent="0.25">
      <c r="A24" s="36"/>
      <c r="B24" s="37"/>
      <c r="C24" s="37"/>
      <c r="D24" s="38"/>
      <c r="E24" s="37"/>
      <c r="F24" s="37"/>
      <c r="G24" s="101"/>
      <c r="H24" s="102"/>
      <c r="I24" s="103"/>
      <c r="J24" s="27"/>
    </row>
    <row r="25" spans="1:18" x14ac:dyDescent="0.25">
      <c r="A25" s="36"/>
      <c r="B25" s="37"/>
      <c r="C25" s="37"/>
      <c r="D25" s="39"/>
      <c r="E25" s="26"/>
      <c r="F25" s="37"/>
      <c r="G25" s="101" t="s">
        <v>30</v>
      </c>
      <c r="H25" s="102"/>
      <c r="I25" s="104">
        <f>(I27-I23)*I29</f>
        <v>7.5000000000000011E-2</v>
      </c>
      <c r="J25" s="27"/>
    </row>
    <row r="26" spans="1:18" x14ac:dyDescent="0.25">
      <c r="A26" s="36"/>
      <c r="B26" s="37"/>
      <c r="C26" s="37"/>
      <c r="D26" s="39"/>
      <c r="E26" s="26"/>
      <c r="F26" s="37"/>
      <c r="G26" s="101"/>
      <c r="H26" s="102"/>
      <c r="I26" s="103"/>
      <c r="J26" s="27"/>
    </row>
    <row r="27" spans="1:18" x14ac:dyDescent="0.25">
      <c r="A27" s="36"/>
      <c r="B27" s="37"/>
      <c r="C27" s="37"/>
      <c r="D27" s="39"/>
      <c r="E27" s="26"/>
      <c r="F27" s="37"/>
      <c r="G27" s="101" t="s">
        <v>31</v>
      </c>
      <c r="H27" s="102"/>
      <c r="I27" s="105">
        <v>7.0000000000000007E-2</v>
      </c>
      <c r="J27" s="27" t="s">
        <v>32</v>
      </c>
    </row>
    <row r="28" spans="1:18" x14ac:dyDescent="0.25">
      <c r="A28" s="36"/>
      <c r="B28" s="37"/>
      <c r="C28" s="37"/>
      <c r="D28" s="40"/>
      <c r="E28" s="26"/>
      <c r="F28" s="37"/>
      <c r="G28" s="101"/>
      <c r="H28" s="102"/>
      <c r="I28" s="103"/>
      <c r="J28" s="27"/>
    </row>
    <row r="29" spans="1:18" x14ac:dyDescent="0.25">
      <c r="A29" s="36"/>
      <c r="B29" s="37"/>
      <c r="C29" s="37"/>
      <c r="D29" s="40"/>
      <c r="E29" s="26"/>
      <c r="F29" s="37"/>
      <c r="G29" s="101" t="s">
        <v>38</v>
      </c>
      <c r="H29" s="102"/>
      <c r="I29" s="103">
        <v>1.5</v>
      </c>
      <c r="J29" s="27" t="s">
        <v>33</v>
      </c>
    </row>
    <row r="30" spans="1:18" x14ac:dyDescent="0.25">
      <c r="A30" s="36"/>
      <c r="B30" s="37"/>
      <c r="C30" s="37"/>
      <c r="D30" s="41"/>
      <c r="E30" s="26"/>
      <c r="F30" s="37"/>
      <c r="G30" s="101"/>
      <c r="H30" s="102"/>
      <c r="I30" s="103"/>
      <c r="J30" s="27"/>
    </row>
    <row r="31" spans="1:18" x14ac:dyDescent="0.25">
      <c r="A31" s="36"/>
      <c r="B31" s="37"/>
      <c r="C31" s="37"/>
      <c r="D31" s="38"/>
      <c r="E31" s="26"/>
      <c r="F31" s="37"/>
      <c r="G31" s="101" t="s">
        <v>34</v>
      </c>
      <c r="H31" s="102"/>
      <c r="I31" s="105">
        <f>I23+(I27-I23)*I29</f>
        <v>9.5000000000000015E-2</v>
      </c>
      <c r="J31" s="27" t="s">
        <v>35</v>
      </c>
    </row>
    <row r="32" spans="1:18" x14ac:dyDescent="0.25">
      <c r="A32" s="25"/>
      <c r="B32" s="26"/>
      <c r="C32" s="42"/>
      <c r="D32" s="26"/>
      <c r="E32" s="37"/>
      <c r="F32" s="37"/>
      <c r="G32" s="101"/>
      <c r="H32" s="102"/>
      <c r="I32" s="102"/>
      <c r="J32" s="27"/>
    </row>
    <row r="33" spans="1:10" x14ac:dyDescent="0.25">
      <c r="A33" s="25"/>
      <c r="B33" s="26"/>
      <c r="C33" s="26"/>
      <c r="D33" s="26"/>
      <c r="E33" s="26"/>
      <c r="F33" s="26"/>
      <c r="G33" s="106" t="s">
        <v>37</v>
      </c>
      <c r="H33" s="107"/>
      <c r="I33" s="108">
        <f>I31</f>
        <v>9.5000000000000015E-2</v>
      </c>
      <c r="J33" s="27"/>
    </row>
    <row r="34" spans="1:10" x14ac:dyDescent="0.25">
      <c r="A34" s="36" t="s">
        <v>7</v>
      </c>
      <c r="B34" s="37"/>
      <c r="C34" s="43"/>
      <c r="D34" s="28"/>
      <c r="E34" s="26"/>
      <c r="F34" s="26"/>
      <c r="G34" s="101"/>
      <c r="H34" s="102"/>
      <c r="I34" s="102"/>
      <c r="J34" s="27"/>
    </row>
    <row r="35" spans="1:10" ht="15.75" hidden="1" customHeight="1" x14ac:dyDescent="0.2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2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2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2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2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2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2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2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2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2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2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.5" thickBot="1" x14ac:dyDescent="0.3">
      <c r="A46" s="29"/>
      <c r="B46" s="30" t="s">
        <v>23</v>
      </c>
      <c r="C46" s="30"/>
      <c r="D46" s="46">
        <f>I33</f>
        <v>9.5000000000000015E-2</v>
      </c>
      <c r="E46" s="30"/>
      <c r="F46" s="30"/>
      <c r="G46" s="29"/>
      <c r="H46" s="30"/>
      <c r="I46" s="30"/>
      <c r="J46" s="31"/>
    </row>
    <row r="48" spans="1:10" x14ac:dyDescent="0.25">
      <c r="A48" s="16"/>
      <c r="B48" s="17"/>
      <c r="C48" s="91" t="s">
        <v>49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7" t="s">
        <v>0</v>
      </c>
      <c r="B49" s="48" t="s">
        <v>5</v>
      </c>
      <c r="C49" s="75">
        <f>C50*C51</f>
        <v>1485141.3900000001</v>
      </c>
      <c r="D49" s="49">
        <f>SUM(G19:Q19)</f>
        <v>1286647.3077953742</v>
      </c>
      <c r="E49" s="48" t="s">
        <v>44</v>
      </c>
    </row>
    <row r="50" spans="1:17" x14ac:dyDescent="0.25">
      <c r="A50" s="47"/>
      <c r="B50" s="48" t="s">
        <v>11</v>
      </c>
      <c r="C50" s="75">
        <v>658.5</v>
      </c>
      <c r="D50" s="75">
        <f>C50</f>
        <v>658.5</v>
      </c>
      <c r="E50" s="48"/>
    </row>
    <row r="51" spans="1:17" x14ac:dyDescent="0.25">
      <c r="A51" s="47"/>
      <c r="B51" s="48" t="s">
        <v>13</v>
      </c>
      <c r="C51" s="95">
        <v>2255.34</v>
      </c>
      <c r="D51" s="58">
        <f>D49/(D50)</f>
        <v>1953.9063140400519</v>
      </c>
      <c r="E51" s="48" t="s">
        <v>44</v>
      </c>
    </row>
    <row r="52" spans="1:17" x14ac:dyDescent="0.25">
      <c r="A52" s="47"/>
      <c r="B52" s="48" t="s">
        <v>48</v>
      </c>
      <c r="C52" s="95">
        <f>C51/20</f>
        <v>112.76700000000001</v>
      </c>
      <c r="D52" s="58">
        <f>D51/20</f>
        <v>97.695315702002603</v>
      </c>
      <c r="E52" s="48" t="s">
        <v>44</v>
      </c>
    </row>
    <row r="53" spans="1:17" x14ac:dyDescent="0.25">
      <c r="A53" s="47"/>
      <c r="B53" s="48" t="s">
        <v>2</v>
      </c>
      <c r="C53" s="48"/>
      <c r="D53" s="59">
        <f>IF(C51/D51-1&gt;0,0,C51/D51-1)*-1</f>
        <v>0</v>
      </c>
      <c r="E53" s="48"/>
    </row>
    <row r="54" spans="1:17" x14ac:dyDescent="0.25">
      <c r="A54" s="47"/>
      <c r="B54" s="48" t="s">
        <v>14</v>
      </c>
      <c r="C54" s="48"/>
      <c r="D54" s="60">
        <f>IF(C51/D51-1&lt;0,0,C51/D51-1)</f>
        <v>0.15427233321984613</v>
      </c>
      <c r="E54" s="48"/>
    </row>
    <row r="55" spans="1:17" x14ac:dyDescent="0.25">
      <c r="A55" s="48"/>
      <c r="B55" s="48"/>
      <c r="C55" s="48"/>
      <c r="D55" s="50"/>
      <c r="E55" s="50"/>
    </row>
    <row r="56" spans="1:17" x14ac:dyDescent="0.25">
      <c r="A56" s="50" t="s">
        <v>22</v>
      </c>
      <c r="B56" s="48"/>
      <c r="C56" s="52">
        <f>D46</f>
        <v>9.5000000000000015E-2</v>
      </c>
      <c r="D56" s="51"/>
      <c r="E56" s="48"/>
      <c r="J56" s="74"/>
    </row>
    <row r="57" spans="1:17" x14ac:dyDescent="0.25">
      <c r="A57" s="50"/>
      <c r="B57" s="48"/>
      <c r="C57" s="52"/>
      <c r="D57" s="51"/>
      <c r="E57" s="48"/>
    </row>
    <row r="58" spans="1:17" hidden="1" x14ac:dyDescent="0.25">
      <c r="A58" s="50" t="s">
        <v>25</v>
      </c>
      <c r="B58" s="78">
        <v>0.108</v>
      </c>
      <c r="C58" s="52"/>
      <c r="D58" s="79">
        <f>SUM(H58:Q58)*1000</f>
        <v>1053429375.4275665</v>
      </c>
      <c r="E58" s="48"/>
      <c r="F58" s="1" t="s">
        <v>26</v>
      </c>
      <c r="H58" s="1">
        <f>G15/(1+$B$58)</f>
        <v>65733.528880866419</v>
      </c>
      <c r="I58" s="1">
        <f>H15/(1+$B$58)^2</f>
        <v>69210.0525876787</v>
      </c>
      <c r="J58" s="1">
        <f>I15/(1+$B$58)^3</f>
        <v>71213.856336613069</v>
      </c>
      <c r="K58" s="1">
        <f>J15/(1+$B$58)^4</f>
        <v>75921.981574511999</v>
      </c>
      <c r="L58" s="1">
        <f>K15/(1+$B$58)^5</f>
        <v>64419.461155952697</v>
      </c>
      <c r="M58" s="1">
        <f>L15/(1+$B$58)^6</f>
        <v>62481.450892536552</v>
      </c>
      <c r="N58" s="1">
        <f>M15/(1+$B$58)^7</f>
        <v>56755.015367623731</v>
      </c>
      <c r="O58" s="1">
        <f>N15/(1+$B$58)^8</f>
        <v>52759.62619914479</v>
      </c>
      <c r="P58" s="1">
        <f>O15/(1+$B$58)^9</f>
        <v>46950.353278300317</v>
      </c>
      <c r="Q58" s="1">
        <f>(Q15/(B58-Q12))/(1+B58)^10</f>
        <v>487984.04915433819</v>
      </c>
    </row>
    <row r="59" spans="1:17" ht="16.5" thickBot="1" x14ac:dyDescent="0.3">
      <c r="A59" s="22"/>
      <c r="C59" s="69"/>
      <c r="D59" s="70"/>
    </row>
    <row r="60" spans="1:17" x14ac:dyDescent="0.25">
      <c r="A60" s="61" t="s">
        <v>43</v>
      </c>
      <c r="B60" s="23"/>
      <c r="C60" s="71">
        <v>18</v>
      </c>
      <c r="D60" s="23"/>
      <c r="E60" s="24"/>
    </row>
    <row r="61" spans="1:17" x14ac:dyDescent="0.25">
      <c r="A61" s="25" t="s">
        <v>24</v>
      </c>
      <c r="B61" s="26"/>
      <c r="C61" s="72"/>
      <c r="D61" s="26"/>
      <c r="E61" s="27"/>
    </row>
    <row r="62" spans="1:17" x14ac:dyDescent="0.25">
      <c r="A62" s="25"/>
      <c r="B62" s="26"/>
      <c r="C62" s="72"/>
      <c r="D62" s="26"/>
      <c r="E62" s="27"/>
    </row>
    <row r="63" spans="1:17" x14ac:dyDescent="0.25">
      <c r="A63" s="25" t="s">
        <v>40</v>
      </c>
      <c r="B63" s="26"/>
      <c r="C63" s="72"/>
      <c r="D63" s="26"/>
      <c r="E63" s="62">
        <f>P17*C60</f>
        <v>3565.5713846152644</v>
      </c>
    </row>
    <row r="64" spans="1:17" x14ac:dyDescent="0.25">
      <c r="A64" s="25"/>
      <c r="B64" s="26"/>
      <c r="C64" s="72"/>
      <c r="D64" s="26"/>
      <c r="E64" s="27"/>
    </row>
    <row r="65" spans="1:5" x14ac:dyDescent="0.25">
      <c r="A65" s="25" t="s">
        <v>17</v>
      </c>
      <c r="B65" s="26"/>
      <c r="C65" s="73">
        <v>0</v>
      </c>
      <c r="D65" s="26"/>
      <c r="E65" s="27"/>
    </row>
    <row r="66" spans="1:5" x14ac:dyDescent="0.25">
      <c r="A66" s="25"/>
      <c r="B66" s="26"/>
      <c r="C66" s="26"/>
      <c r="D66" s="26"/>
      <c r="E66" s="27"/>
    </row>
    <row r="67" spans="1:5" x14ac:dyDescent="0.25">
      <c r="A67" s="25" t="s">
        <v>18</v>
      </c>
      <c r="B67" s="26"/>
      <c r="C67" s="26"/>
      <c r="D67" s="26"/>
      <c r="E67" s="62">
        <f>SUM(G17:Q17)*C65</f>
        <v>0</v>
      </c>
    </row>
    <row r="68" spans="1:5" x14ac:dyDescent="0.25">
      <c r="A68" s="25"/>
      <c r="B68" s="26"/>
      <c r="C68" s="26"/>
      <c r="D68" s="26"/>
      <c r="E68" s="63"/>
    </row>
    <row r="69" spans="1:5" x14ac:dyDescent="0.25">
      <c r="A69" s="64" t="s">
        <v>45</v>
      </c>
      <c r="B69" s="26"/>
      <c r="C69" s="26"/>
      <c r="D69" s="26"/>
      <c r="E69" s="65">
        <f>(E67*0.25)*-1</f>
        <v>0</v>
      </c>
    </row>
    <row r="70" spans="1:5" x14ac:dyDescent="0.25">
      <c r="A70" s="25"/>
      <c r="B70" s="26"/>
      <c r="C70" s="45"/>
      <c r="D70" s="45"/>
      <c r="E70" s="66"/>
    </row>
    <row r="71" spans="1:5" x14ac:dyDescent="0.25">
      <c r="A71" s="25" t="s">
        <v>19</v>
      </c>
      <c r="B71" s="26"/>
      <c r="C71" s="26"/>
      <c r="D71" s="26"/>
      <c r="E71" s="62">
        <f>SUM(E63:E69)</f>
        <v>3565.5713846152644</v>
      </c>
    </row>
    <row r="72" spans="1:5" x14ac:dyDescent="0.25">
      <c r="A72" s="25"/>
      <c r="B72" s="26"/>
      <c r="C72" s="26"/>
      <c r="D72" s="26"/>
      <c r="E72" s="62"/>
    </row>
    <row r="73" spans="1:5" x14ac:dyDescent="0.25">
      <c r="A73" s="25" t="s">
        <v>20</v>
      </c>
      <c r="B73" s="26"/>
      <c r="C73" s="26"/>
      <c r="D73" s="26"/>
      <c r="E73" s="66">
        <f>E71/C51-1</f>
        <v>0.58094628065624887</v>
      </c>
    </row>
    <row r="74" spans="1:5" x14ac:dyDescent="0.25">
      <c r="A74" s="25"/>
      <c r="B74" s="26"/>
      <c r="C74" s="26"/>
      <c r="D74" s="26"/>
      <c r="E74" s="27"/>
    </row>
    <row r="75" spans="1:5" ht="16.5" thickBot="1" x14ac:dyDescent="0.3">
      <c r="A75" s="110" t="s">
        <v>21</v>
      </c>
      <c r="B75" s="111"/>
      <c r="C75" s="111"/>
      <c r="D75" s="111"/>
      <c r="E75" s="89">
        <f>(E71/C51)^(1/10)-1</f>
        <v>4.6867485480498461E-2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5"/>
  <sheetViews>
    <sheetView topLeftCell="A29" zoomScaleNormal="100" workbookViewId="0">
      <selection activeCell="I30" sqref="I3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2" t="s">
        <v>10</v>
      </c>
    </row>
    <row r="4" spans="1:28" x14ac:dyDescent="0.25">
      <c r="B4" s="22" t="s">
        <v>46</v>
      </c>
      <c r="L4" s="26"/>
      <c r="M4" s="26"/>
      <c r="N4" s="26"/>
      <c r="O4" s="26"/>
      <c r="P4" s="26"/>
      <c r="Q4" s="26"/>
      <c r="R4" s="26"/>
      <c r="S4" s="26"/>
    </row>
    <row r="5" spans="1:28" x14ac:dyDescent="0.25">
      <c r="L5" s="26"/>
      <c r="M5" s="26"/>
      <c r="N5" s="26"/>
      <c r="O5" s="26"/>
      <c r="P5" s="26"/>
      <c r="Q5" s="26"/>
      <c r="R5" s="26"/>
      <c r="S5" s="26"/>
    </row>
    <row r="6" spans="1:28" x14ac:dyDescent="0.2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47</v>
      </c>
    </row>
    <row r="11" spans="1:28" x14ac:dyDescent="0.25">
      <c r="A11" s="5"/>
      <c r="B11" s="4" t="s">
        <v>4</v>
      </c>
      <c r="C11" s="88">
        <v>136958</v>
      </c>
      <c r="D11" s="88">
        <v>161402</v>
      </c>
      <c r="E11" s="88">
        <v>182350</v>
      </c>
      <c r="F11" s="88">
        <v>257488</v>
      </c>
      <c r="G11" s="77">
        <v>295947.8</v>
      </c>
      <c r="H11" s="77">
        <v>339053.02</v>
      </c>
      <c r="I11" s="77">
        <v>385624.08</v>
      </c>
      <c r="J11" s="77">
        <v>422862.12</v>
      </c>
      <c r="K11" s="77">
        <f t="shared" ref="J11:Q11" si="0">J11*(1+K12)</f>
        <v>463034.02139999997</v>
      </c>
      <c r="L11" s="77">
        <f t="shared" si="0"/>
        <v>518598.10396800004</v>
      </c>
      <c r="M11" s="77">
        <f t="shared" si="0"/>
        <v>575643.89540448005</v>
      </c>
      <c r="N11" s="77">
        <f t="shared" si="0"/>
        <v>627451.8459908833</v>
      </c>
      <c r="O11" s="77">
        <f t="shared" si="0"/>
        <v>671373.47521024512</v>
      </c>
      <c r="P11" s="77">
        <f t="shared" si="0"/>
        <v>704942.14897075738</v>
      </c>
      <c r="Q11" s="77">
        <f t="shared" si="0"/>
        <v>719040.99195017258</v>
      </c>
    </row>
    <row r="12" spans="1:28" x14ac:dyDescent="0.25">
      <c r="A12" s="5"/>
      <c r="B12" s="4" t="s">
        <v>1</v>
      </c>
      <c r="C12" s="94"/>
      <c r="D12" s="97">
        <f t="shared" ref="D12" si="1">D11/C11-1</f>
        <v>0.17847807356999956</v>
      </c>
      <c r="E12" s="97">
        <f t="shared" ref="E12" si="2">E11/D11-1</f>
        <v>0.12978773497230511</v>
      </c>
      <c r="F12" s="97">
        <f t="shared" ref="F12" si="3">F11/E11-1</f>
        <v>0.41205374280230322</v>
      </c>
      <c r="G12" s="93">
        <f t="shared" ref="G12" si="4">G11/F11-1</f>
        <v>0.14936540731995263</v>
      </c>
      <c r="H12" s="93">
        <f t="shared" ref="H12:J12" si="5">H11/G11-1</f>
        <v>0.14565142906958606</v>
      </c>
      <c r="I12" s="93">
        <f t="shared" si="5"/>
        <v>0.13735627542854512</v>
      </c>
      <c r="J12" s="93">
        <f t="shared" si="5"/>
        <v>9.6565650153382476E-2</v>
      </c>
      <c r="K12" s="93">
        <v>9.5000000000000001E-2</v>
      </c>
      <c r="L12" s="93">
        <v>0.12</v>
      </c>
      <c r="M12" s="93">
        <v>0.11</v>
      </c>
      <c r="N12" s="93">
        <v>0.09</v>
      </c>
      <c r="O12" s="93">
        <v>7.0000000000000007E-2</v>
      </c>
      <c r="P12" s="93">
        <v>0.05</v>
      </c>
      <c r="Q12" s="93">
        <v>0.02</v>
      </c>
    </row>
    <row r="13" spans="1:28" ht="15.95" customHeight="1" x14ac:dyDescent="0.25">
      <c r="A13" s="5"/>
      <c r="B13" s="4" t="s">
        <v>15</v>
      </c>
      <c r="C13" s="96">
        <v>0.23019999999999999</v>
      </c>
      <c r="D13" s="96">
        <v>0.2198</v>
      </c>
      <c r="E13" s="96">
        <v>0.22509999999999999</v>
      </c>
      <c r="F13" s="96">
        <v>0.30509999999999998</v>
      </c>
      <c r="G13" s="92">
        <v>0.28949999999999998</v>
      </c>
      <c r="H13" s="92">
        <v>0.29120000000000001</v>
      </c>
      <c r="I13" s="92">
        <v>0.29380000000000001</v>
      </c>
      <c r="J13" s="92">
        <v>0.30370000000000003</v>
      </c>
      <c r="K13" s="92">
        <v>0.30499999999999999</v>
      </c>
      <c r="L13" s="92">
        <v>0.31</v>
      </c>
      <c r="M13" s="92">
        <v>0.32</v>
      </c>
      <c r="N13" s="92">
        <v>0.33</v>
      </c>
      <c r="O13" s="92">
        <v>0.34</v>
      </c>
      <c r="P13" s="92">
        <v>0.35</v>
      </c>
      <c r="Q13" s="92">
        <v>0.35</v>
      </c>
    </row>
    <row r="14" spans="1:28" ht="17.100000000000001" customHeight="1" x14ac:dyDescent="0.25">
      <c r="A14" s="5"/>
      <c r="B14" s="4" t="s">
        <v>16</v>
      </c>
      <c r="C14" s="88">
        <f>C11*C13</f>
        <v>31527.731599999999</v>
      </c>
      <c r="D14" s="88">
        <f t="shared" ref="D14:I14" si="6">D11*D13</f>
        <v>35476.159599999999</v>
      </c>
      <c r="E14" s="88">
        <f t="shared" si="6"/>
        <v>41046.985000000001</v>
      </c>
      <c r="F14" s="88">
        <f t="shared" si="6"/>
        <v>78559.588799999998</v>
      </c>
      <c r="G14" s="77">
        <f t="shared" si="6"/>
        <v>85676.888099999996</v>
      </c>
      <c r="H14" s="77">
        <f t="shared" si="6"/>
        <v>98732.239424000014</v>
      </c>
      <c r="I14" s="77">
        <f t="shared" si="6"/>
        <v>113296.35470400001</v>
      </c>
      <c r="J14" s="77">
        <f t="shared" ref="J14:Q14" si="7">J11*J13</f>
        <v>128423.22584400002</v>
      </c>
      <c r="K14" s="77">
        <f t="shared" si="7"/>
        <v>141225.37652699999</v>
      </c>
      <c r="L14" s="77">
        <f t="shared" si="7"/>
        <v>160765.41223008002</v>
      </c>
      <c r="M14" s="77">
        <f t="shared" si="7"/>
        <v>184206.04652943363</v>
      </c>
      <c r="N14" s="77">
        <f t="shared" si="7"/>
        <v>207059.10917699151</v>
      </c>
      <c r="O14" s="77">
        <f t="shared" si="7"/>
        <v>228266.98157148337</v>
      </c>
      <c r="P14" s="77">
        <f t="shared" si="7"/>
        <v>246729.75213976507</v>
      </c>
      <c r="Q14" s="77">
        <f t="shared" si="7"/>
        <v>251664.34718256039</v>
      </c>
    </row>
    <row r="15" spans="1:28" x14ac:dyDescent="0.25">
      <c r="A15" s="109">
        <v>0.15</v>
      </c>
      <c r="B15" s="4" t="s">
        <v>42</v>
      </c>
      <c r="C15" s="88">
        <v>30733.38</v>
      </c>
      <c r="D15" s="88">
        <v>34346.35</v>
      </c>
      <c r="E15" s="88">
        <v>40262.879999999997</v>
      </c>
      <c r="F15" s="88">
        <v>76036</v>
      </c>
      <c r="G15" s="77">
        <v>72832.75</v>
      </c>
      <c r="H15" s="77">
        <v>84966.69</v>
      </c>
      <c r="I15" s="77">
        <v>96868.77</v>
      </c>
      <c r="J15" s="77">
        <v>114426.49</v>
      </c>
      <c r="K15" s="77">
        <f t="shared" ref="J15:Q15" si="8">K14*(1-$A$15)</f>
        <v>120041.57004794998</v>
      </c>
      <c r="L15" s="77">
        <f t="shared" si="8"/>
        <v>136650.60039556801</v>
      </c>
      <c r="M15" s="77">
        <f t="shared" si="8"/>
        <v>156575.13955001859</v>
      </c>
      <c r="N15" s="77">
        <f t="shared" si="8"/>
        <v>176000.24280044276</v>
      </c>
      <c r="O15" s="77">
        <f t="shared" si="8"/>
        <v>194026.93433576086</v>
      </c>
      <c r="P15" s="77">
        <f t="shared" si="8"/>
        <v>209720.28931880029</v>
      </c>
      <c r="Q15" s="77">
        <f t="shared" si="8"/>
        <v>213914.69510517633</v>
      </c>
    </row>
    <row r="16" spans="1:28" ht="32.25" hidden="1" thickBot="1" x14ac:dyDescent="0.3">
      <c r="A16" s="13" t="s">
        <v>6</v>
      </c>
      <c r="B16" s="14"/>
      <c r="C16" s="15">
        <f t="shared" ref="C16:J16" si="9">C15/C14</f>
        <v>0.97480467005751859</v>
      </c>
      <c r="D16" s="15">
        <f t="shared" si="9"/>
        <v>0.96815299026899182</v>
      </c>
      <c r="E16" s="15">
        <f t="shared" si="9"/>
        <v>0.98089737894269202</v>
      </c>
      <c r="F16" s="15">
        <f t="shared" si="9"/>
        <v>0.96787675650359317</v>
      </c>
      <c r="G16" s="15">
        <f t="shared" si="9"/>
        <v>0.85008631400094004</v>
      </c>
      <c r="H16" s="15">
        <f t="shared" si="9"/>
        <v>0.86057695536627465</v>
      </c>
      <c r="I16" s="15">
        <f t="shared" si="9"/>
        <v>0.85500341342032582</v>
      </c>
      <c r="J16" s="15">
        <f t="shared" si="9"/>
        <v>0.8910108685402256</v>
      </c>
    </row>
    <row r="17" spans="1:18" x14ac:dyDescent="0.25">
      <c r="A17" s="2" t="s">
        <v>39</v>
      </c>
      <c r="C17" s="88"/>
      <c r="D17" s="88"/>
      <c r="E17" s="88"/>
      <c r="F17" s="88"/>
      <c r="G17" s="77">
        <f>G15/G18</f>
        <v>110.60402429764616</v>
      </c>
      <c r="H17" s="77">
        <f t="shared" ref="H17:P17" si="10">H15/H18</f>
        <v>130.33400059823751</v>
      </c>
      <c r="I17" s="77">
        <f t="shared" si="10"/>
        <v>150.09202491773073</v>
      </c>
      <c r="J17" s="77">
        <f t="shared" si="10"/>
        <v>179.08747496797994</v>
      </c>
      <c r="K17" s="77">
        <f t="shared" si="10"/>
        <v>189.77329984560174</v>
      </c>
      <c r="L17" s="77">
        <f t="shared" si="10"/>
        <v>218.21258389267405</v>
      </c>
      <c r="M17" s="77">
        <f t="shared" si="10"/>
        <v>252.5549358054019</v>
      </c>
      <c r="N17" s="77">
        <f t="shared" si="10"/>
        <v>286.7550833623834</v>
      </c>
      <c r="O17" s="77">
        <f t="shared" si="10"/>
        <v>319.3189449869455</v>
      </c>
      <c r="P17" s="77">
        <f t="shared" si="10"/>
        <v>348.63253797594308</v>
      </c>
      <c r="Q17" s="77"/>
    </row>
    <row r="18" spans="1:18" ht="32.25" thickBot="1" x14ac:dyDescent="0.3">
      <c r="A18" s="2" t="s">
        <v>41</v>
      </c>
      <c r="C18" s="88"/>
      <c r="D18" s="88"/>
      <c r="E18" s="88"/>
      <c r="F18" s="88"/>
      <c r="G18" s="77">
        <f>D50</f>
        <v>658.5</v>
      </c>
      <c r="H18" s="77">
        <f>G18*0.99</f>
        <v>651.91499999999996</v>
      </c>
      <c r="I18" s="77">
        <f t="shared" ref="I18:P18" si="11">H18*0.99</f>
        <v>645.39585</v>
      </c>
      <c r="J18" s="77">
        <f t="shared" si="11"/>
        <v>638.9418915</v>
      </c>
      <c r="K18" s="77">
        <f t="shared" si="11"/>
        <v>632.55247258500003</v>
      </c>
      <c r="L18" s="77">
        <f t="shared" si="11"/>
        <v>626.22694785915007</v>
      </c>
      <c r="M18" s="77">
        <f t="shared" si="11"/>
        <v>619.96467838055855</v>
      </c>
      <c r="N18" s="77">
        <f t="shared" si="11"/>
        <v>613.76503159675292</v>
      </c>
      <c r="O18" s="77">
        <f t="shared" si="11"/>
        <v>607.62738128078536</v>
      </c>
      <c r="P18" s="77">
        <f t="shared" si="11"/>
        <v>601.55110746797754</v>
      </c>
      <c r="Q18" s="77"/>
    </row>
    <row r="19" spans="1:18" ht="16.5" thickBot="1" x14ac:dyDescent="0.3">
      <c r="A19" s="2"/>
      <c r="E19" s="53" t="s">
        <v>12</v>
      </c>
      <c r="F19" s="54"/>
      <c r="G19" s="55">
        <f>G15/(1+$C$56)</f>
        <v>66513.92694063927</v>
      </c>
      <c r="H19" s="55">
        <f>H15/(1+$C$56)^2</f>
        <v>70863.151310439731</v>
      </c>
      <c r="I19" s="55">
        <f>I15/(1+$C$56)^3</f>
        <v>73780.471747450065</v>
      </c>
      <c r="J19" s="55">
        <f>J15/(1+$C$56)^4</f>
        <v>79592.124937562592</v>
      </c>
      <c r="K19" s="55">
        <f>K15/(1+$C$56)^5</f>
        <v>76253.726278328279</v>
      </c>
      <c r="L19" s="55">
        <f>L15/(1+$C$56)^6</f>
        <v>79273.280227069641</v>
      </c>
      <c r="M19" s="55">
        <f>M15/(1+$C$56)^7</f>
        <v>82951.448333053893</v>
      </c>
      <c r="N19" s="55">
        <f>N15/(1+$C$56)^8</f>
        <v>85153.070677509939</v>
      </c>
      <c r="O19" s="55">
        <f>O15/(1+$C$56)^9</f>
        <v>85730.419572376151</v>
      </c>
      <c r="P19" s="55">
        <f>P15/(1+$C$56)^10</f>
        <v>84625.111987236698</v>
      </c>
      <c r="Q19" s="56">
        <f>(Q15/(C56-Q12))/(1+C56)^10</f>
        <v>1150901.5230264191</v>
      </c>
    </row>
    <row r="20" spans="1:18" x14ac:dyDescent="0.25">
      <c r="A20" s="2"/>
      <c r="C20" s="80"/>
      <c r="D20" s="90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12"/>
      <c r="K21" s="112"/>
      <c r="L21" s="112"/>
      <c r="M21" s="112"/>
      <c r="N21" s="112"/>
      <c r="O21" s="112"/>
      <c r="P21" s="112"/>
      <c r="Q21" s="112"/>
      <c r="R21" s="3"/>
    </row>
    <row r="22" spans="1:18" ht="16.5" thickBot="1" x14ac:dyDescent="0.3">
      <c r="P22" s="3"/>
      <c r="Q22" s="3"/>
      <c r="R22" s="3"/>
    </row>
    <row r="23" spans="1:18" x14ac:dyDescent="0.25">
      <c r="A23" s="33" t="s">
        <v>27</v>
      </c>
      <c r="B23" s="34"/>
      <c r="C23" s="34"/>
      <c r="D23" s="35"/>
      <c r="E23" s="23"/>
      <c r="F23" s="34"/>
      <c r="G23" s="61" t="s">
        <v>28</v>
      </c>
      <c r="H23" s="23"/>
      <c r="I23" s="84">
        <v>0.02</v>
      </c>
      <c r="J23" s="24" t="s">
        <v>29</v>
      </c>
    </row>
    <row r="24" spans="1:18" x14ac:dyDescent="0.25">
      <c r="A24" s="36"/>
      <c r="B24" s="37"/>
      <c r="C24" s="37"/>
      <c r="D24" s="38"/>
      <c r="E24" s="37"/>
      <c r="F24" s="37"/>
      <c r="G24" s="25"/>
      <c r="H24" s="26"/>
      <c r="I24" s="85"/>
      <c r="J24" s="27"/>
    </row>
    <row r="25" spans="1:18" x14ac:dyDescent="0.25">
      <c r="A25" s="36"/>
      <c r="B25" s="37"/>
      <c r="C25" s="37"/>
      <c r="D25" s="39"/>
      <c r="E25" s="26"/>
      <c r="F25" s="37"/>
      <c r="G25" s="25" t="s">
        <v>30</v>
      </c>
      <c r="H25" s="26"/>
      <c r="I25" s="86">
        <f>(I27-I23)*I29</f>
        <v>7.5000000000000011E-2</v>
      </c>
      <c r="J25" s="27"/>
    </row>
    <row r="26" spans="1:18" x14ac:dyDescent="0.25">
      <c r="A26" s="36"/>
      <c r="B26" s="37"/>
      <c r="C26" s="37"/>
      <c r="D26" s="39"/>
      <c r="E26" s="26"/>
      <c r="F26" s="37"/>
      <c r="G26" s="25"/>
      <c r="H26" s="26"/>
      <c r="I26" s="85"/>
      <c r="J26" s="27"/>
    </row>
    <row r="27" spans="1:18" x14ac:dyDescent="0.25">
      <c r="A27" s="36"/>
      <c r="B27" s="37"/>
      <c r="C27" s="37"/>
      <c r="D27" s="39"/>
      <c r="E27" s="26"/>
      <c r="F27" s="37"/>
      <c r="G27" s="25" t="s">
        <v>31</v>
      </c>
      <c r="H27" s="26"/>
      <c r="I27" s="87">
        <v>7.0000000000000007E-2</v>
      </c>
      <c r="J27" s="27" t="s">
        <v>32</v>
      </c>
    </row>
    <row r="28" spans="1:18" x14ac:dyDescent="0.25">
      <c r="A28" s="36"/>
      <c r="B28" s="37"/>
      <c r="C28" s="37"/>
      <c r="D28" s="40"/>
      <c r="E28" s="26"/>
      <c r="F28" s="37"/>
      <c r="G28" s="25"/>
      <c r="H28" s="26"/>
      <c r="I28" s="85"/>
      <c r="J28" s="27"/>
    </row>
    <row r="29" spans="1:18" x14ac:dyDescent="0.25">
      <c r="A29" s="36"/>
      <c r="B29" s="37"/>
      <c r="C29" s="37"/>
      <c r="D29" s="40"/>
      <c r="E29" s="26"/>
      <c r="F29" s="37"/>
      <c r="G29" s="25" t="s">
        <v>38</v>
      </c>
      <c r="H29" s="26"/>
      <c r="I29" s="85">
        <v>1.5</v>
      </c>
      <c r="J29" s="27" t="s">
        <v>33</v>
      </c>
    </row>
    <row r="30" spans="1:18" x14ac:dyDescent="0.25">
      <c r="A30" s="36"/>
      <c r="B30" s="37"/>
      <c r="C30" s="37"/>
      <c r="D30" s="41"/>
      <c r="E30" s="26"/>
      <c r="F30" s="37"/>
      <c r="G30" s="25"/>
      <c r="H30" s="26"/>
      <c r="I30" s="85"/>
      <c r="J30" s="27"/>
    </row>
    <row r="31" spans="1:18" x14ac:dyDescent="0.25">
      <c r="A31" s="36"/>
      <c r="B31" s="37"/>
      <c r="C31" s="37"/>
      <c r="D31" s="38"/>
      <c r="E31" s="26"/>
      <c r="F31" s="37"/>
      <c r="G31" s="25" t="s">
        <v>34</v>
      </c>
      <c r="H31" s="26"/>
      <c r="I31" s="87">
        <f>I23+(I27-I23)*I29</f>
        <v>9.5000000000000015E-2</v>
      </c>
      <c r="J31" s="27" t="s">
        <v>35</v>
      </c>
    </row>
    <row r="32" spans="1:18" x14ac:dyDescent="0.25">
      <c r="A32" s="25"/>
      <c r="B32" s="26"/>
      <c r="C32" s="42"/>
      <c r="D32" s="26"/>
      <c r="E32" s="37"/>
      <c r="F32" s="37"/>
      <c r="G32" s="25"/>
      <c r="H32" s="26"/>
      <c r="I32" s="26"/>
      <c r="J32" s="27"/>
    </row>
    <row r="33" spans="1:10" x14ac:dyDescent="0.25">
      <c r="A33" s="25"/>
      <c r="B33" s="26"/>
      <c r="C33" s="26"/>
      <c r="D33" s="26"/>
      <c r="E33" s="26"/>
      <c r="F33" s="26"/>
      <c r="G33" s="81" t="s">
        <v>37</v>
      </c>
      <c r="H33" s="82"/>
      <c r="I33" s="83">
        <f>I31</f>
        <v>9.5000000000000015E-2</v>
      </c>
      <c r="J33" s="27"/>
    </row>
    <row r="34" spans="1:10" x14ac:dyDescent="0.25">
      <c r="A34" s="36" t="s">
        <v>7</v>
      </c>
      <c r="B34" s="37"/>
      <c r="C34" s="43"/>
      <c r="D34" s="28"/>
      <c r="E34" s="26"/>
      <c r="F34" s="26"/>
      <c r="G34" s="25"/>
      <c r="H34" s="26"/>
      <c r="I34" s="26"/>
      <c r="J34" s="27"/>
    </row>
    <row r="35" spans="1:10" ht="15.75" hidden="1" customHeight="1" x14ac:dyDescent="0.2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2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2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2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2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2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2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2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2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2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2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.5" thickBot="1" x14ac:dyDescent="0.3">
      <c r="A46" s="29"/>
      <c r="B46" s="30" t="s">
        <v>23</v>
      </c>
      <c r="C46" s="30"/>
      <c r="D46" s="46">
        <f>I33</f>
        <v>9.5000000000000015E-2</v>
      </c>
      <c r="E46" s="30"/>
      <c r="F46" s="30"/>
      <c r="G46" s="29"/>
      <c r="H46" s="30"/>
      <c r="I46" s="30"/>
      <c r="J46" s="31"/>
    </row>
    <row r="48" spans="1:10" x14ac:dyDescent="0.25">
      <c r="A48" s="16"/>
      <c r="B48" s="17"/>
      <c r="C48" s="91" t="s">
        <v>49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7" t="s">
        <v>0</v>
      </c>
      <c r="B49" s="48" t="s">
        <v>5</v>
      </c>
      <c r="C49" s="75">
        <f>C50*C51</f>
        <v>1485141.3900000001</v>
      </c>
      <c r="D49" s="49">
        <f>SUM(G19:Q19)</f>
        <v>1935638.2550380854</v>
      </c>
      <c r="E49" s="48" t="s">
        <v>44</v>
      </c>
    </row>
    <row r="50" spans="1:17" x14ac:dyDescent="0.25">
      <c r="A50" s="47"/>
      <c r="B50" s="48" t="s">
        <v>11</v>
      </c>
      <c r="C50" s="75">
        <v>658.5</v>
      </c>
      <c r="D50" s="75">
        <f>C50</f>
        <v>658.5</v>
      </c>
      <c r="E50" s="48"/>
    </row>
    <row r="51" spans="1:17" x14ac:dyDescent="0.25">
      <c r="A51" s="47"/>
      <c r="B51" s="48" t="s">
        <v>13</v>
      </c>
      <c r="C51" s="95">
        <v>2255.34</v>
      </c>
      <c r="D51" s="58">
        <f>D49/(D50)</f>
        <v>2939.4658390859308</v>
      </c>
      <c r="E51" s="48" t="s">
        <v>44</v>
      </c>
    </row>
    <row r="52" spans="1:17" x14ac:dyDescent="0.25">
      <c r="A52" s="47"/>
      <c r="B52" s="48" t="s">
        <v>48</v>
      </c>
      <c r="C52" s="95">
        <f>C51/20</f>
        <v>112.76700000000001</v>
      </c>
      <c r="D52" s="58">
        <f>D51/20</f>
        <v>146.97329195429654</v>
      </c>
      <c r="E52" s="48" t="s">
        <v>44</v>
      </c>
    </row>
    <row r="53" spans="1:17" x14ac:dyDescent="0.25">
      <c r="A53" s="47"/>
      <c r="B53" s="48" t="s">
        <v>2</v>
      </c>
      <c r="C53" s="48"/>
      <c r="D53" s="59">
        <f>IF(C51/D51-1&gt;0,0,C51/D51-1)*-1</f>
        <v>0.23273814922056368</v>
      </c>
      <c r="E53" s="48"/>
    </row>
    <row r="54" spans="1:17" x14ac:dyDescent="0.25">
      <c r="A54" s="47"/>
      <c r="B54" s="48" t="s">
        <v>14</v>
      </c>
      <c r="C54" s="48"/>
      <c r="D54" s="60">
        <f>IF(C51/D51-1&lt;0,0,C51/D51-1)</f>
        <v>0</v>
      </c>
      <c r="E54" s="48"/>
    </row>
    <row r="55" spans="1:17" x14ac:dyDescent="0.25">
      <c r="A55" s="48"/>
      <c r="B55" s="48"/>
      <c r="C55" s="48"/>
      <c r="D55" s="50"/>
      <c r="E55" s="50"/>
    </row>
    <row r="56" spans="1:17" x14ac:dyDescent="0.25">
      <c r="A56" s="50" t="s">
        <v>22</v>
      </c>
      <c r="B56" s="48"/>
      <c r="C56" s="52">
        <f>D46</f>
        <v>9.5000000000000015E-2</v>
      </c>
      <c r="D56" s="51"/>
      <c r="E56" s="48"/>
      <c r="J56" s="74"/>
    </row>
    <row r="57" spans="1:17" x14ac:dyDescent="0.25">
      <c r="A57" s="50"/>
      <c r="B57" s="48"/>
      <c r="C57" s="52"/>
      <c r="D57" s="51"/>
      <c r="E57" s="48"/>
    </row>
    <row r="58" spans="1:17" hidden="1" x14ac:dyDescent="0.25">
      <c r="A58" s="50" t="s">
        <v>25</v>
      </c>
      <c r="B58" s="78">
        <v>0.108</v>
      </c>
      <c r="C58" s="52"/>
      <c r="D58" s="79">
        <f>SUM(H58:Q58)*1000</f>
        <v>1530449792.1012595</v>
      </c>
      <c r="E58" s="48"/>
      <c r="F58" s="1" t="s">
        <v>26</v>
      </c>
      <c r="H58" s="1">
        <f>G15/(1+$B$58)</f>
        <v>65733.528880866419</v>
      </c>
      <c r="I58" s="1">
        <f>H15/(1+$B$58)^2</f>
        <v>69210.0525876787</v>
      </c>
      <c r="J58" s="1">
        <f>I15/(1+$B$58)^3</f>
        <v>71213.856336613069</v>
      </c>
      <c r="K58" s="1">
        <f>J15/(1+$B$58)^4</f>
        <v>75921.981574511999</v>
      </c>
      <c r="L58" s="1">
        <f>K15/(1+$B$58)^5</f>
        <v>71884.104200571543</v>
      </c>
      <c r="M58" s="1">
        <f>L15/(1+$B$58)^6</f>
        <v>73853.823100072332</v>
      </c>
      <c r="N58" s="1">
        <f>M15/(1+$B$58)^7</f>
        <v>76373.814967816739</v>
      </c>
      <c r="O58" s="1">
        <f>N15/(1+$B$58)^8</f>
        <v>77480.994031824433</v>
      </c>
      <c r="P58" s="1">
        <f>O15/(1+$B$58)^9</f>
        <v>77091.08858105712</v>
      </c>
      <c r="Q58" s="1">
        <f>(Q15/(B58-Q12))/(1+B58)^10</f>
        <v>871686.54784024716</v>
      </c>
    </row>
    <row r="59" spans="1:17" ht="16.5" thickBot="1" x14ac:dyDescent="0.3">
      <c r="A59" s="22"/>
      <c r="C59" s="69"/>
      <c r="D59" s="70"/>
    </row>
    <row r="60" spans="1:17" x14ac:dyDescent="0.25">
      <c r="A60" s="61" t="s">
        <v>43</v>
      </c>
      <c r="B60" s="23"/>
      <c r="C60" s="71">
        <v>22</v>
      </c>
      <c r="D60" s="23"/>
      <c r="E60" s="24"/>
    </row>
    <row r="61" spans="1:17" x14ac:dyDescent="0.25">
      <c r="A61" s="25" t="s">
        <v>24</v>
      </c>
      <c r="B61" s="26"/>
      <c r="C61" s="72"/>
      <c r="D61" s="26"/>
      <c r="E61" s="27"/>
    </row>
    <row r="62" spans="1:17" x14ac:dyDescent="0.25">
      <c r="A62" s="25"/>
      <c r="B62" s="26"/>
      <c r="C62" s="72"/>
      <c r="D62" s="26"/>
      <c r="E62" s="27"/>
    </row>
    <row r="63" spans="1:17" x14ac:dyDescent="0.25">
      <c r="A63" s="25" t="s">
        <v>40</v>
      </c>
      <c r="B63" s="26"/>
      <c r="C63" s="72"/>
      <c r="D63" s="26"/>
      <c r="E63" s="62">
        <f>P17*C60</f>
        <v>7669.9158354707479</v>
      </c>
    </row>
    <row r="64" spans="1:17" x14ac:dyDescent="0.25">
      <c r="A64" s="25"/>
      <c r="B64" s="26"/>
      <c r="C64" s="72"/>
      <c r="D64" s="26"/>
      <c r="E64" s="27"/>
    </row>
    <row r="65" spans="1:5" x14ac:dyDescent="0.25">
      <c r="A65" s="25" t="s">
        <v>17</v>
      </c>
      <c r="B65" s="26"/>
      <c r="C65" s="73">
        <v>0</v>
      </c>
      <c r="D65" s="26"/>
      <c r="E65" s="27"/>
    </row>
    <row r="66" spans="1:5" x14ac:dyDescent="0.25">
      <c r="A66" s="25"/>
      <c r="B66" s="26"/>
      <c r="C66" s="26"/>
      <c r="D66" s="26"/>
      <c r="E66" s="27"/>
    </row>
    <row r="67" spans="1:5" x14ac:dyDescent="0.25">
      <c r="A67" s="25" t="s">
        <v>18</v>
      </c>
      <c r="B67" s="26"/>
      <c r="C67" s="26"/>
      <c r="D67" s="26"/>
      <c r="E67" s="62">
        <f>SUM(G17:Q17)*C65</f>
        <v>0</v>
      </c>
    </row>
    <row r="68" spans="1:5" x14ac:dyDescent="0.25">
      <c r="A68" s="25"/>
      <c r="B68" s="26"/>
      <c r="C68" s="26"/>
      <c r="D68" s="26"/>
      <c r="E68" s="63"/>
    </row>
    <row r="69" spans="1:5" x14ac:dyDescent="0.25">
      <c r="A69" s="64" t="s">
        <v>45</v>
      </c>
      <c r="B69" s="26"/>
      <c r="C69" s="26"/>
      <c r="D69" s="26"/>
      <c r="E69" s="65">
        <f>(E67*0.25)*-1</f>
        <v>0</v>
      </c>
    </row>
    <row r="70" spans="1:5" x14ac:dyDescent="0.25">
      <c r="A70" s="25"/>
      <c r="B70" s="26"/>
      <c r="C70" s="45"/>
      <c r="D70" s="45"/>
      <c r="E70" s="66"/>
    </row>
    <row r="71" spans="1:5" x14ac:dyDescent="0.25">
      <c r="A71" s="25" t="s">
        <v>19</v>
      </c>
      <c r="B71" s="26"/>
      <c r="C71" s="26"/>
      <c r="D71" s="26"/>
      <c r="E71" s="62">
        <f>SUM(E63:E69)</f>
        <v>7669.9158354707479</v>
      </c>
    </row>
    <row r="72" spans="1:5" x14ac:dyDescent="0.25">
      <c r="A72" s="25"/>
      <c r="B72" s="26"/>
      <c r="C72" s="26"/>
      <c r="D72" s="26"/>
      <c r="E72" s="62"/>
    </row>
    <row r="73" spans="1:5" x14ac:dyDescent="0.25">
      <c r="A73" s="25" t="s">
        <v>20</v>
      </c>
      <c r="B73" s="26"/>
      <c r="C73" s="26"/>
      <c r="D73" s="26"/>
      <c r="E73" s="66">
        <f>E71/C51-1</f>
        <v>2.4007802971927723</v>
      </c>
    </row>
    <row r="74" spans="1:5" x14ac:dyDescent="0.25">
      <c r="A74" s="25"/>
      <c r="B74" s="26"/>
      <c r="C74" s="26"/>
      <c r="D74" s="26"/>
      <c r="E74" s="27"/>
    </row>
    <row r="75" spans="1:5" ht="16.5" thickBot="1" x14ac:dyDescent="0.3">
      <c r="A75" s="67" t="s">
        <v>21</v>
      </c>
      <c r="B75" s="68"/>
      <c r="C75" s="68"/>
      <c r="D75" s="68"/>
      <c r="E75" s="89">
        <f>(E71/C51)^(1/10)-1</f>
        <v>0.13020664811923233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2022-07-16T08:52:01Z</dcterms:modified>
</cp:coreProperties>
</file>