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Ball Corp/"/>
    </mc:Choice>
  </mc:AlternateContent>
  <xr:revisionPtr revIDLastSave="119" documentId="13_ncr:1_{B8E3C76B-EB3C-48D2-93DE-A11C776647E3}" xr6:coauthVersionLast="47" xr6:coauthVersionMax="47" xr10:uidLastSave="{BEE42D3C-52C2-499C-AFDC-F6CB914C8498}"/>
  <bookViews>
    <workbookView xWindow="28680" yWindow="-120" windowWidth="29040" windowHeight="15720" activeTab="1" xr2:uid="{00000000-000D-0000-FFFF-FFFF00000000}"/>
  </bookViews>
  <sheets>
    <sheet name="Pessimistisch" sheetId="35" r:id="rId1"/>
    <sheet name="Optimistisch" sheetId="3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32" l="1"/>
  <c r="I29" i="32"/>
  <c r="I25" i="32"/>
  <c r="I18" i="35" l="1"/>
  <c r="J18" i="35" s="1"/>
  <c r="K18" i="35" s="1"/>
  <c r="L18" i="35" s="1"/>
  <c r="M18" i="35" s="1"/>
  <c r="N18" i="35" s="1"/>
  <c r="O18" i="35" s="1"/>
  <c r="P18" i="35" s="1"/>
  <c r="H18" i="35"/>
  <c r="D50" i="35"/>
  <c r="G18" i="35" s="1"/>
  <c r="C49" i="35"/>
  <c r="I33" i="35"/>
  <c r="D46" i="35" s="1"/>
  <c r="C55" i="35" s="1"/>
  <c r="E16" i="35"/>
  <c r="D16" i="35"/>
  <c r="C16" i="35"/>
  <c r="I15" i="35"/>
  <c r="J57" i="35" s="1"/>
  <c r="H15" i="35"/>
  <c r="I57" i="35" s="1"/>
  <c r="G15" i="35"/>
  <c r="F15" i="35"/>
  <c r="F16" i="35" s="1"/>
  <c r="E15" i="35"/>
  <c r="D15" i="35"/>
  <c r="I14" i="35"/>
  <c r="H14" i="35"/>
  <c r="G14" i="35"/>
  <c r="F14" i="35"/>
  <c r="E14" i="35"/>
  <c r="D14" i="35"/>
  <c r="I12" i="35"/>
  <c r="H12" i="35"/>
  <c r="G12" i="35"/>
  <c r="F12" i="35"/>
  <c r="E12" i="35"/>
  <c r="J11" i="35"/>
  <c r="K11" i="35" s="1"/>
  <c r="L18" i="32"/>
  <c r="M18" i="32" s="1"/>
  <c r="N18" i="32" s="1"/>
  <c r="O18" i="32" s="1"/>
  <c r="P18" i="32" s="1"/>
  <c r="K18" i="32"/>
  <c r="I18" i="32"/>
  <c r="J18" i="32"/>
  <c r="H18" i="32"/>
  <c r="D50" i="32"/>
  <c r="H14" i="32"/>
  <c r="I14" i="32"/>
  <c r="G14" i="32"/>
  <c r="I15" i="32"/>
  <c r="H15" i="32"/>
  <c r="G15" i="32"/>
  <c r="E14" i="32"/>
  <c r="F14" i="32"/>
  <c r="F15" i="32"/>
  <c r="E15" i="32"/>
  <c r="D15" i="32"/>
  <c r="D14" i="32"/>
  <c r="J11" i="32"/>
  <c r="E12" i="32"/>
  <c r="F12" i="32"/>
  <c r="G12" i="32"/>
  <c r="H12" i="32"/>
  <c r="G19" i="35" l="1"/>
  <c r="J14" i="35"/>
  <c r="J15" i="35" s="1"/>
  <c r="K57" i="35" s="1"/>
  <c r="L11" i="35"/>
  <c r="K14" i="35"/>
  <c r="K15" i="35" s="1"/>
  <c r="G16" i="35"/>
  <c r="H16" i="35"/>
  <c r="H19" i="35"/>
  <c r="I19" i="35"/>
  <c r="G17" i="35"/>
  <c r="H57" i="35"/>
  <c r="I16" i="35"/>
  <c r="H17" i="35"/>
  <c r="I17" i="35"/>
  <c r="K11" i="32"/>
  <c r="J19" i="35" l="1"/>
  <c r="J16" i="35"/>
  <c r="J17" i="35"/>
  <c r="K17" i="35"/>
  <c r="L57" i="35"/>
  <c r="K19" i="35"/>
  <c r="M11" i="35"/>
  <c r="L14" i="35"/>
  <c r="L15" i="35" s="1"/>
  <c r="G18" i="32"/>
  <c r="C49" i="32"/>
  <c r="N11" i="35" l="1"/>
  <c r="M14" i="35"/>
  <c r="M15" i="35" s="1"/>
  <c r="L19" i="35"/>
  <c r="L17" i="35"/>
  <c r="M57" i="35"/>
  <c r="G17" i="32"/>
  <c r="M19" i="35" l="1"/>
  <c r="N57" i="35"/>
  <c r="M17" i="35"/>
  <c r="N14" i="35"/>
  <c r="N15" i="35" s="1"/>
  <c r="O11" i="35"/>
  <c r="I57" i="32"/>
  <c r="I33" i="32"/>
  <c r="D46" i="32" s="1"/>
  <c r="C55" i="32" s="1"/>
  <c r="C16" i="32"/>
  <c r="I12" i="32"/>
  <c r="O14" i="35" l="1"/>
  <c r="O15" i="35" s="1"/>
  <c r="P11" i="35"/>
  <c r="N19" i="35"/>
  <c r="N17" i="35"/>
  <c r="O57" i="35"/>
  <c r="H16" i="32"/>
  <c r="H17" i="32"/>
  <c r="I17" i="32"/>
  <c r="I16" i="32"/>
  <c r="K14" i="32"/>
  <c r="K15" i="32" s="1"/>
  <c r="L11" i="32"/>
  <c r="G19" i="32"/>
  <c r="H19" i="32"/>
  <c r="I19" i="32"/>
  <c r="H57" i="32"/>
  <c r="J14" i="32"/>
  <c r="J15" i="32" s="1"/>
  <c r="G16" i="32"/>
  <c r="J57" i="32"/>
  <c r="Q11" i="35" l="1"/>
  <c r="Q14" i="35" s="1"/>
  <c r="Q15" i="35" s="1"/>
  <c r="P14" i="35"/>
  <c r="P15" i="35" s="1"/>
  <c r="O17" i="35"/>
  <c r="O19" i="35"/>
  <c r="P57" i="35"/>
  <c r="K57" i="32"/>
  <c r="J19" i="32"/>
  <c r="J17" i="32"/>
  <c r="J16" i="32"/>
  <c r="L14" i="32"/>
  <c r="L15" i="32" s="1"/>
  <c r="M11" i="32"/>
  <c r="K19" i="32"/>
  <c r="K17" i="32"/>
  <c r="L57" i="32"/>
  <c r="P19" i="35" l="1"/>
  <c r="P17" i="35"/>
  <c r="D41" i="35"/>
  <c r="D42" i="35"/>
  <c r="D43" i="35"/>
  <c r="D44" i="35"/>
  <c r="D40" i="35"/>
  <c r="Q19" i="35"/>
  <c r="D49" i="35" s="1"/>
  <c r="D51" i="35" s="1"/>
  <c r="Q57" i="35"/>
  <c r="D57" i="35" s="1"/>
  <c r="L19" i="32"/>
  <c r="L17" i="32"/>
  <c r="M57" i="32"/>
  <c r="M14" i="32"/>
  <c r="M15" i="32" s="1"/>
  <c r="N11" i="32"/>
  <c r="D53" i="35" l="1"/>
  <c r="D52" i="35"/>
  <c r="E62" i="35"/>
  <c r="E66" i="35"/>
  <c r="E68" i="35" s="1"/>
  <c r="N14" i="32"/>
  <c r="N15" i="32" s="1"/>
  <c r="O11" i="32"/>
  <c r="M19" i="32"/>
  <c r="M17" i="32"/>
  <c r="N57" i="32"/>
  <c r="E70" i="35" l="1"/>
  <c r="P11" i="32"/>
  <c r="O14" i="32"/>
  <c r="O15" i="32" s="1"/>
  <c r="N17" i="32"/>
  <c r="O57" i="32"/>
  <c r="N19" i="32"/>
  <c r="E74" i="35" l="1"/>
  <c r="E72" i="35"/>
  <c r="O17" i="32"/>
  <c r="O19" i="32"/>
  <c r="P57" i="32"/>
  <c r="P14" i="32"/>
  <c r="Q11" i="32"/>
  <c r="Q14" i="32" s="1"/>
  <c r="Q15" i="32" s="1"/>
  <c r="Q19" i="32" s="1"/>
  <c r="P15" i="32" l="1"/>
  <c r="D43" i="32" s="1"/>
  <c r="Q57" i="32"/>
  <c r="D57" i="32" s="1"/>
  <c r="D42" i="32" l="1"/>
  <c r="D40" i="32"/>
  <c r="D44" i="32"/>
  <c r="D41" i="32"/>
  <c r="P19" i="32"/>
  <c r="D49" i="32" s="1"/>
  <c r="D51" i="32" s="1"/>
  <c r="P17" i="32"/>
  <c r="E62" i="32" s="1"/>
  <c r="E66" i="32" l="1"/>
  <c r="E68" i="32" s="1"/>
  <c r="D53" i="32"/>
  <c r="D52" i="32"/>
  <c r="E70" i="32" l="1"/>
  <c r="E74" i="32" s="1"/>
  <c r="E72" i="32" l="1"/>
  <c r="F16" i="32" l="1"/>
  <c r="E16" i="32"/>
  <c r="D16" i="32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<sst xmlns="http://schemas.openxmlformats.org/spreadsheetml/2006/main" count="98" uniqueCount="48">
  <si>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</si>
  <si>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</si>
  <si>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</si>
  <si>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</si>
  <si>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</si>
  <si>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</si>
  <si>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</si>
  <si>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</si>
  <si>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</si>
  <si>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</si>
  <si>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</si>
  <si>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</si>
  <si>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</si>
  <si>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</si>
  <si>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</si>
  <si>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</si>
  <si>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</si>
  <si>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</si>
  <si>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</si>
  <si>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</si>
  <si>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</si>
  <si>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</si>
  <si>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</si>
  <si>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</si>
  <si>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</si>
  <si>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</si>
  <si>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</si>
  <si>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</si>
  <si>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</si>
  <si>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</si>
  <si>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</si>
  <si>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</si>
  <si>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</si>
  <si>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</si>
  <si>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</si>
  <si>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</si>
  <si>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</si>
  <si>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</si>
  <si>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</si>
  <si>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</si>
  <si>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</si>
  <si>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</si>
  <si>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</si>
  <si>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KGV Multiple in 2031</t>
  </si>
  <si>
    <t>USD</t>
  </si>
  <si>
    <t>2032ff.</t>
  </si>
  <si>
    <t>Quellensteuer USA (25 %)</t>
  </si>
  <si>
    <t xml:space="preserve"> Annahmen für Ball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</si>
</sst>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0.0%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7" fillId="2" borderId="0" xfId="0" applyFont="1" applyFill="1"/>
    <xf numFmtId="0" fontId="0" fillId="3" borderId="0" xfId="0" applyFill="1"/>
    <xf numFmtId="0" fontId="5" fillId="3" borderId="0" xfId="0" applyFont="1" applyFill="1" applyAlignment="1">
      <alignment vertical="center" wrapText="1"/>
    </xf>
    <xf numFmtId="0" fontId="9" fillId="2" borderId="0" xfId="0" applyFont="1" applyFill="1"/>
    <xf numFmtId="9" fontId="9" fillId="2" borderId="0" xfId="1" applyFont="1" applyFill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5" fillId="5" borderId="0" xfId="0" applyFont="1" applyFill="1"/>
    <xf numFmtId="9" fontId="3" fillId="6" borderId="0" xfId="1" applyFont="1" applyFill="1"/>
    <xf numFmtId="165" fontId="3" fillId="7" borderId="0" xfId="1" applyNumberFormat="1" applyFont="1" applyFill="1"/>
    <xf numFmtId="0" fontId="0" fillId="2" borderId="1" xfId="0" applyFill="1" applyBorder="1" applyAlignment="1">
      <alignment wrapText="1"/>
    </xf>
    <xf numFmtId="0" fontId="8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7" fillId="6" borderId="0" xfId="0" applyFont="1" applyFill="1"/>
    <xf numFmtId="0" fontId="10" fillId="6" borderId="0" xfId="0" applyFont="1" applyFill="1"/>
    <xf numFmtId="4" fontId="5" fillId="6" borderId="0" xfId="0" applyNumberFormat="1" applyFont="1" applyFill="1"/>
    <xf numFmtId="0" fontId="5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1" fillId="2" borderId="0" xfId="0" applyFont="1" applyFill="1"/>
    <xf numFmtId="4" fontId="5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3" fillId="2" borderId="0" xfId="1" applyNumberFormat="1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5" fillId="2" borderId="0" xfId="0" applyNumberFormat="1" applyFont="1" applyFill="1" applyBorder="1"/>
    <xf numFmtId="9" fontId="0" fillId="2" borderId="0" xfId="1" applyFont="1" applyFill="1" applyBorder="1"/>
    <xf numFmtId="10" fontId="5" fillId="2" borderId="10" xfId="0" applyNumberFormat="1" applyFont="1" applyFill="1" applyBorder="1"/>
    <xf numFmtId="0" fontId="5" fillId="8" borderId="0" xfId="0" applyFont="1" applyFill="1" applyAlignment="1">
      <alignment vertical="center" wrapText="1"/>
    </xf>
    <xf numFmtId="0" fontId="0" fillId="8" borderId="0" xfId="0" applyFill="1"/>
    <xf numFmtId="4" fontId="9" fillId="8" borderId="0" xfId="0" applyNumberFormat="1" applyFont="1" applyFill="1"/>
    <xf numFmtId="0" fontId="5" fillId="8" borderId="0" xfId="0" applyFont="1" applyFill="1"/>
    <xf numFmtId="1" fontId="3" fillId="8" borderId="0" xfId="1" applyNumberFormat="1" applyFont="1" applyFill="1"/>
    <xf numFmtId="10" fontId="5" fillId="8" borderId="0" xfId="1" applyNumberFormat="1" applyFont="1" applyFill="1"/>
    <xf numFmtId="0" fontId="0" fillId="2" borderId="1" xfId="0" applyFill="1" applyBorder="1"/>
    <xf numFmtId="0" fontId="9" fillId="2" borderId="2" xfId="0" applyFont="1" applyFill="1" applyBorder="1"/>
    <xf numFmtId="2" fontId="7" fillId="2" borderId="2" xfId="0" applyNumberFormat="1" applyFont="1" applyFill="1" applyBorder="1"/>
    <xf numFmtId="2" fontId="7" fillId="2" borderId="3" xfId="0" applyNumberFormat="1" applyFont="1" applyFill="1" applyBorder="1"/>
    <xf numFmtId="0" fontId="10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5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6" fillId="2" borderId="8" xfId="0" quotePrefix="1" applyNumberFormat="1" applyFont="1" applyFill="1" applyBorder="1"/>
    <xf numFmtId="10" fontId="0" fillId="2" borderId="7" xfId="0" applyNumberFormat="1" applyFill="1" applyBorder="1"/>
    <xf numFmtId="4" fontId="12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5" fillId="2" borderId="0" xfId="1" applyNumberFormat="1" applyFont="1" applyFill="1"/>
    <xf numFmtId="1" fontId="3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3" fillId="8" borderId="0" xfId="1" applyNumberFormat="1" applyFont="1" applyFill="1"/>
    <xf numFmtId="0" fontId="0" fillId="2" borderId="0" xfId="0" quotePrefix="1" applyFill="1"/>
    <xf numFmtId="0" fontId="5" fillId="2" borderId="7" xfId="0" applyFon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9" fillId="5" borderId="0" xfId="0" applyNumberFormat="1" applyFont="1" applyFill="1"/>
    <xf numFmtId="165" fontId="0" fillId="10" borderId="10" xfId="1" applyNumberFormat="1" applyFont="1" applyFill="1" applyBorder="1"/>
    <xf numFmtId="9" fontId="0" fillId="2" borderId="0" xfId="0" applyNumberFormat="1" applyFill="1"/>
    <xf numFmtId="164" fontId="10" fillId="6" borderId="0" xfId="0" applyNumberFormat="1" applyFont="1" applyFill="1"/>
    <xf numFmtId="10" fontId="0" fillId="7" borderId="0" xfId="1" applyNumberFormat="1" applyFont="1" applyFill="1"/>
    <xf numFmtId="165" fontId="9" fillId="7" borderId="0" xfId="1" applyNumberFormat="1" applyFont="1" applyFill="1"/>
    <xf numFmtId="9" fontId="9" fillId="5" borderId="0" xfId="1" applyFont="1" applyFill="1"/>
    <xf numFmtId="166" fontId="0" fillId="8" borderId="0" xfId="0" applyNumberFormat="1" applyFont="1" applyFill="1"/>
    <xf numFmtId="2" fontId="0" fillId="2" borderId="0" xfId="0" applyNumberFormat="1" applyFill="1" applyBorder="1" applyAlignment="1">
      <alignment horizontal="right"/>
    </xf>
  </cellXfs>
  <cellStyles count="7">
    <cellStyle name="Prozent" xfId="1" builtinId="5"/>
    <cellStyle name="Prozent 2" xfId="2" xr:uid="{00000000-0005-0000-0000-000001000000}"/>
    <cellStyle name="Prozent 3" xfId="4" xr:uid="{00000000-0005-0000-0000-000002000000}"/>
    <cellStyle name="Prozent 4" xfId="6" xr:uid="{DE5E001C-AEE3-45AD-B913-D01465EAAE5D}"/>
    <cellStyle name="Standard" xfId="0" builtinId="0"/>
    <cellStyle name="Standard 2" xfId="3" xr:uid="{00000000-0005-0000-0000-000004000000}"/>
    <cellStyle name="Standard 3" xfId="5" xr:uid="{D21CDE20-7D2B-4947-8C50-96BDB9D63654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CBA8BE7-9FAB-4B32-A8F7-970F42C08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672732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DDFE-F9A6-404F-9D2D-0AE0999661B6}">
  <dimension ref="A2:AB74"/>
  <sheetViews>
    <sheetView topLeftCell="A32" zoomScaleNormal="10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47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>
        <v>2019</v>
      </c>
      <c r="E10" s="11">
        <v>2020</v>
      </c>
      <c r="F10" s="11">
        <v>2021</v>
      </c>
      <c r="G10" s="58">
        <v>2022</v>
      </c>
      <c r="H10" s="58">
        <v>2023</v>
      </c>
      <c r="I10" s="58">
        <v>2024</v>
      </c>
      <c r="J10" s="58">
        <v>2025</v>
      </c>
      <c r="K10" s="58">
        <v>2026</v>
      </c>
      <c r="L10" s="58">
        <v>2027</v>
      </c>
      <c r="M10" s="58">
        <v>2028</v>
      </c>
      <c r="N10" s="58">
        <v>2029</v>
      </c>
      <c r="O10" s="58">
        <v>2030</v>
      </c>
      <c r="P10" s="58">
        <v>2031</v>
      </c>
      <c r="Q10" s="58" t="s">
        <v>45</v>
      </c>
    </row>
    <row r="11" spans="1:28" x14ac:dyDescent="0.25">
      <c r="A11" s="5"/>
      <c r="B11" s="4" t="s">
        <v>4</v>
      </c>
      <c r="C11" s="89"/>
      <c r="D11" s="89">
        <v>11456</v>
      </c>
      <c r="E11" s="89">
        <v>11758</v>
      </c>
      <c r="F11" s="89">
        <v>13932</v>
      </c>
      <c r="G11" s="78">
        <v>15917.34</v>
      </c>
      <c r="H11" s="78">
        <v>16867.73</v>
      </c>
      <c r="I11" s="78">
        <v>18001.759999999998</v>
      </c>
      <c r="J11" s="78">
        <f t="shared" ref="J11:Q11" si="0">I11*(1+J12)</f>
        <v>18541.8128</v>
      </c>
      <c r="K11" s="78">
        <f t="shared" si="0"/>
        <v>19098.067184</v>
      </c>
      <c r="L11" s="78">
        <f t="shared" si="0"/>
        <v>18143.163824799998</v>
      </c>
      <c r="M11" s="78">
        <f t="shared" si="0"/>
        <v>19776.048569031998</v>
      </c>
      <c r="N11" s="78">
        <f t="shared" si="0"/>
        <v>20369.330026102958</v>
      </c>
      <c r="O11" s="78">
        <f t="shared" si="0"/>
        <v>20980.409926886048</v>
      </c>
      <c r="P11" s="78">
        <f t="shared" si="0"/>
        <v>21609.822224692631</v>
      </c>
      <c r="Q11" s="78">
        <f t="shared" si="0"/>
        <v>21825.920446939555</v>
      </c>
    </row>
    <row r="12" spans="1:28" x14ac:dyDescent="0.25">
      <c r="A12" s="5"/>
      <c r="B12" s="4" t="s">
        <v>1</v>
      </c>
      <c r="C12" s="95"/>
      <c r="D12" s="95"/>
      <c r="E12" s="95">
        <f t="shared" ref="E12:I12" si="1">E11/D11-1</f>
        <v>2.6361731843575376E-2</v>
      </c>
      <c r="F12" s="95">
        <f t="shared" si="1"/>
        <v>0.18489539037251235</v>
      </c>
      <c r="G12" s="94">
        <f t="shared" si="1"/>
        <v>0.14250215331610683</v>
      </c>
      <c r="H12" s="94">
        <f t="shared" si="1"/>
        <v>5.9707840631663345E-2</v>
      </c>
      <c r="I12" s="94">
        <f t="shared" si="1"/>
        <v>6.7230741777346337E-2</v>
      </c>
      <c r="J12" s="94">
        <v>0.03</v>
      </c>
      <c r="K12" s="94">
        <v>0.03</v>
      </c>
      <c r="L12" s="77">
        <v>-0.05</v>
      </c>
      <c r="M12" s="77">
        <v>0.09</v>
      </c>
      <c r="N12" s="77">
        <v>0.03</v>
      </c>
      <c r="O12" s="77">
        <v>0.03</v>
      </c>
      <c r="P12" s="94">
        <v>0.03</v>
      </c>
      <c r="Q12" s="13">
        <v>0.01</v>
      </c>
    </row>
    <row r="13" spans="1:28" ht="15.95" customHeight="1" x14ac:dyDescent="0.25">
      <c r="A13" s="5"/>
      <c r="B13" s="4" t="s">
        <v>15</v>
      </c>
      <c r="C13" s="95"/>
      <c r="D13" s="95">
        <v>8.7499999999999994E-2</v>
      </c>
      <c r="E13" s="95">
        <v>0.111</v>
      </c>
      <c r="F13" s="95">
        <v>8.8400000000000006E-2</v>
      </c>
      <c r="G13" s="77">
        <v>0.111</v>
      </c>
      <c r="H13" s="77">
        <v>0.1139</v>
      </c>
      <c r="I13" s="77">
        <v>0.1202</v>
      </c>
      <c r="J13" s="93">
        <v>0.11</v>
      </c>
      <c r="K13" s="77">
        <v>0.11</v>
      </c>
      <c r="L13" s="77">
        <v>0.04</v>
      </c>
      <c r="M13" s="77">
        <v>0.1</v>
      </c>
      <c r="N13" s="77">
        <v>9.5000000000000001E-2</v>
      </c>
      <c r="O13" s="77">
        <v>9.5000000000000001E-2</v>
      </c>
      <c r="P13" s="94">
        <v>9.5000000000000001E-2</v>
      </c>
      <c r="Q13" s="77">
        <v>9.5000000000000001E-2</v>
      </c>
    </row>
    <row r="14" spans="1:28" ht="16.5" customHeight="1" x14ac:dyDescent="0.25">
      <c r="A14" s="5"/>
      <c r="B14" s="4" t="s">
        <v>16</v>
      </c>
      <c r="C14" s="89"/>
      <c r="D14" s="89">
        <f>D11*D13</f>
        <v>1002.4</v>
      </c>
      <c r="E14" s="89">
        <f t="shared" ref="E14:F14" si="2">E11*E13</f>
        <v>1305.1379999999999</v>
      </c>
      <c r="F14" s="89">
        <f t="shared" si="2"/>
        <v>1231.5888</v>
      </c>
      <c r="G14" s="78">
        <f>G11*G13</f>
        <v>1766.82474</v>
      </c>
      <c r="H14" s="78">
        <f t="shared" ref="H14:Q14" si="3">H11*H13</f>
        <v>1921.234447</v>
      </c>
      <c r="I14" s="78">
        <f t="shared" si="3"/>
        <v>2163.8115519999997</v>
      </c>
      <c r="J14" s="78">
        <f t="shared" si="3"/>
        <v>2039.599408</v>
      </c>
      <c r="K14" s="78">
        <f t="shared" si="3"/>
        <v>2100.7873902400001</v>
      </c>
      <c r="L14" s="78">
        <f t="shared" si="3"/>
        <v>725.72655299199994</v>
      </c>
      <c r="M14" s="78">
        <f t="shared" si="3"/>
        <v>1977.6048569032</v>
      </c>
      <c r="N14" s="78">
        <f t="shared" si="3"/>
        <v>1935.086352479781</v>
      </c>
      <c r="O14" s="78">
        <f t="shared" si="3"/>
        <v>1993.1389430541747</v>
      </c>
      <c r="P14" s="78">
        <f t="shared" si="3"/>
        <v>2052.9331113457997</v>
      </c>
      <c r="Q14" s="78">
        <f t="shared" si="3"/>
        <v>2073.462442459258</v>
      </c>
    </row>
    <row r="15" spans="1:28" x14ac:dyDescent="0.25">
      <c r="A15" s="12">
        <v>0.25</v>
      </c>
      <c r="B15" s="4" t="s">
        <v>42</v>
      </c>
      <c r="C15" s="89"/>
      <c r="D15" s="89">
        <f>D11*0.0494</f>
        <v>565.92639999999994</v>
      </c>
      <c r="E15" s="89">
        <f>E11*0.0498</f>
        <v>585.54840000000002</v>
      </c>
      <c r="F15" s="89">
        <f>F11*0.0663</f>
        <v>923.69159999999999</v>
      </c>
      <c r="G15" s="78">
        <f>G11*0.0768</f>
        <v>1222.4517119999998</v>
      </c>
      <c r="H15" s="78">
        <f>H11*0.0804</f>
        <v>1356.1654919999999</v>
      </c>
      <c r="I15" s="78">
        <f>I11*0.0854</f>
        <v>1537.3503039999998</v>
      </c>
      <c r="J15" s="78">
        <f t="shared" ref="J15:K15" si="4">J14*(1-$A$15)</f>
        <v>1529.699556</v>
      </c>
      <c r="K15" s="78">
        <f t="shared" si="4"/>
        <v>1575.59054268</v>
      </c>
      <c r="L15" s="78">
        <f>L14*(1-$A$15)</f>
        <v>544.29491474399993</v>
      </c>
      <c r="M15" s="78">
        <f t="shared" ref="M15:P15" si="5">M14*(1-$A$15)</f>
        <v>1483.2036426774</v>
      </c>
      <c r="N15" s="78">
        <f t="shared" si="5"/>
        <v>1451.3147643598359</v>
      </c>
      <c r="O15" s="78">
        <f t="shared" si="5"/>
        <v>1494.8542072906309</v>
      </c>
      <c r="P15" s="78">
        <f t="shared" si="5"/>
        <v>1539.6998335093499</v>
      </c>
      <c r="Q15" s="78">
        <f>Q14*(1-$A$15)</f>
        <v>1555.0968318444434</v>
      </c>
    </row>
    <row r="16" spans="1:28" ht="32.25" hidden="1" thickBot="1" x14ac:dyDescent="0.3">
      <c r="A16" s="14" t="s">
        <v>6</v>
      </c>
      <c r="B16" s="15"/>
      <c r="C16" s="16" t="e">
        <f t="shared" ref="C16:J16" si="6">C15/C14</f>
        <v>#DIV/0!</v>
      </c>
      <c r="D16" s="16">
        <f t="shared" si="6"/>
        <v>0.5645714285714285</v>
      </c>
      <c r="E16" s="16">
        <f t="shared" si="6"/>
        <v>0.44864864864864867</v>
      </c>
      <c r="F16" s="16">
        <f t="shared" si="6"/>
        <v>0.75</v>
      </c>
      <c r="G16" s="16">
        <f t="shared" si="6"/>
        <v>0.69189189189189182</v>
      </c>
      <c r="H16" s="16">
        <f t="shared" si="6"/>
        <v>0.70588235294117641</v>
      </c>
      <c r="I16" s="16">
        <f t="shared" si="6"/>
        <v>0.71048252911813647</v>
      </c>
      <c r="J16" s="16">
        <f t="shared" si="6"/>
        <v>0.75</v>
      </c>
    </row>
    <row r="17" spans="1:18" x14ac:dyDescent="0.25">
      <c r="A17" s="2" t="s">
        <v>39</v>
      </c>
      <c r="C17" s="89"/>
      <c r="D17" s="89"/>
      <c r="E17" s="89"/>
      <c r="F17" s="89"/>
      <c r="G17" s="78">
        <f>G15/G18</f>
        <v>3.7508183458314406</v>
      </c>
      <c r="H17" s="78">
        <f t="shared" ref="H17:P17" si="7">H15/H18</f>
        <v>4.1819990241959557</v>
      </c>
      <c r="I17" s="78">
        <f t="shared" si="7"/>
        <v>4.7645401938572078</v>
      </c>
      <c r="J17" s="78">
        <f t="shared" si="7"/>
        <v>4.7646523363070186</v>
      </c>
      <c r="K17" s="78">
        <f t="shared" si="7"/>
        <v>4.932253172257516</v>
      </c>
      <c r="L17" s="78">
        <f t="shared" si="7"/>
        <v>1.7124314348632765</v>
      </c>
      <c r="M17" s="78">
        <f t="shared" si="7"/>
        <v>4.6898247839220391</v>
      </c>
      <c r="N17" s="78">
        <f t="shared" si="7"/>
        <v>4.6120538201685584</v>
      </c>
      <c r="O17" s="78">
        <f t="shared" si="7"/>
        <v>4.7742868691192113</v>
      </c>
      <c r="P17" s="78">
        <f t="shared" si="7"/>
        <v>4.9422266082339563</v>
      </c>
      <c r="Q17" s="78"/>
    </row>
    <row r="18" spans="1:18" ht="32.25" thickBot="1" x14ac:dyDescent="0.3">
      <c r="A18" s="2" t="s">
        <v>41</v>
      </c>
      <c r="C18" s="89"/>
      <c r="D18" s="89"/>
      <c r="E18" s="89"/>
      <c r="F18" s="89"/>
      <c r="G18" s="78">
        <f>D50</f>
        <v>325.916</v>
      </c>
      <c r="H18" s="78">
        <f>G18*0.995</f>
        <v>324.28642000000002</v>
      </c>
      <c r="I18" s="78">
        <f t="shared" ref="I18:P18" si="8">H18*0.995</f>
        <v>322.66498790000003</v>
      </c>
      <c r="J18" s="78">
        <f t="shared" si="8"/>
        <v>321.05166296050004</v>
      </c>
      <c r="K18" s="78">
        <f t="shared" si="8"/>
        <v>319.44640464569756</v>
      </c>
      <c r="L18" s="78">
        <f t="shared" si="8"/>
        <v>317.84917262246904</v>
      </c>
      <c r="M18" s="78">
        <f t="shared" si="8"/>
        <v>316.25992675935669</v>
      </c>
      <c r="N18" s="78">
        <f t="shared" si="8"/>
        <v>314.6786271255599</v>
      </c>
      <c r="O18" s="78">
        <f t="shared" si="8"/>
        <v>313.10523398993212</v>
      </c>
      <c r="P18" s="78">
        <f t="shared" si="8"/>
        <v>311.53970781998248</v>
      </c>
      <c r="Q18" s="78"/>
    </row>
    <row r="19" spans="1:18" ht="16.5" thickBot="1" x14ac:dyDescent="0.3">
      <c r="A19" s="2"/>
      <c r="E19" s="54" t="s">
        <v>12</v>
      </c>
      <c r="F19" s="55"/>
      <c r="G19" s="56">
        <f>G15/(1+$C$55)</f>
        <v>1112.5242985814641</v>
      </c>
      <c r="H19" s="56">
        <f>H15/(1+$C$55)^2</f>
        <v>1123.2289116656832</v>
      </c>
      <c r="I19" s="56">
        <f>I15/(1+$C$55)^3</f>
        <v>1158.7939370773563</v>
      </c>
      <c r="J19" s="56">
        <f>J15/(1+$C$55)^4</f>
        <v>1049.3426113394439</v>
      </c>
      <c r="K19" s="56">
        <f>K15/(1+$C$55)^5</f>
        <v>983.63126774501063</v>
      </c>
      <c r="L19" s="56">
        <f>L15/(1+$C$55)^6</f>
        <v>309.24381989384045</v>
      </c>
      <c r="M19" s="56">
        <f>M15/(1+$C$55)^7</f>
        <v>766.91163724606849</v>
      </c>
      <c r="N19" s="56">
        <f>N15/(1+$C$55)^8</f>
        <v>682.94220109707703</v>
      </c>
      <c r="O19" s="56">
        <f>O15/(1+$C$55)^9</f>
        <v>640.17537818673611</v>
      </c>
      <c r="P19" s="56">
        <f>P15/(1+$C$55)^10</f>
        <v>600.08667523867962</v>
      </c>
      <c r="Q19" s="57">
        <f>(Q15/(C55-Q12))/(1+C55)^10</f>
        <v>6824.6184732523316</v>
      </c>
    </row>
    <row r="20" spans="1:18" x14ac:dyDescent="0.25">
      <c r="A20" s="2"/>
      <c r="C20" s="81"/>
      <c r="D20" s="91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2" t="s">
        <v>28</v>
      </c>
      <c r="H23" s="24"/>
      <c r="I23" s="85">
        <v>2.5000000000000001E-2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6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7">
        <v>7.3809E-2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6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88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6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97">
        <v>1.6401999999999999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6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88">
        <v>9.8809000000000008E-2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2" t="s">
        <v>37</v>
      </c>
      <c r="H33" s="83"/>
      <c r="I33" s="84">
        <f>I31</f>
        <v>9.8809000000000008E-2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((NPV(C40,$G$15:$Q$15)+(#REF!*(1+#REF!)/(C40-#REF!))/(1+C40)^(2040-2020))/$D$50)/$C$51-1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((NPV(C41,$G$15:$Q$15)+(#REF!*(1+#REF!)/(C41-#REF!))/(1+C41)^(2040-2020))/$D$50)/$C$51-1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((NPV(C42,$G$15:$Q$15)+(#REF!*(1+#REF!)/(C42-#REF!))/(1+C42)^(2040-2020))/$D$50)/$C$51-1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((NPV(C43,$G$15:$Q$15)+(#REF!*(1+#REF!)/(C43-#REF!))/(1+C43)^(2040-2020))/$D$50)/$C$51-1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((NPV(C44,$G$15:$Q$15)+(#REF!*(1+#REF!)/(C44-#REF!))/(1+C44)^(2040-2020))/$D$50)/$C$51-1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9.8809000000000008E-2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2">
        <v>44743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6">
        <f>C50*C51</f>
        <v>23117.221880000001</v>
      </c>
      <c r="D49" s="50">
        <f>SUM(G19:Q19)</f>
        <v>15251.499211323691</v>
      </c>
      <c r="E49" s="49" t="s">
        <v>44</v>
      </c>
    </row>
    <row r="50" spans="1:17" x14ac:dyDescent="0.25">
      <c r="A50" s="48"/>
      <c r="B50" s="49" t="s">
        <v>11</v>
      </c>
      <c r="C50" s="96">
        <v>325.916</v>
      </c>
      <c r="D50" s="96">
        <f>C50</f>
        <v>325.916</v>
      </c>
      <c r="E50" s="49"/>
    </row>
    <row r="51" spans="1:17" x14ac:dyDescent="0.25">
      <c r="A51" s="48"/>
      <c r="B51" s="49" t="s">
        <v>13</v>
      </c>
      <c r="C51" s="49">
        <v>70.930000000000007</v>
      </c>
      <c r="D51" s="59">
        <f>D49/(D50)</f>
        <v>46.795797724946588</v>
      </c>
      <c r="E51" s="49" t="s">
        <v>44</v>
      </c>
    </row>
    <row r="52" spans="1:17" x14ac:dyDescent="0.25">
      <c r="A52" s="48"/>
      <c r="B52" s="49" t="s">
        <v>2</v>
      </c>
      <c r="C52" s="49"/>
      <c r="D52" s="60">
        <f>IF(C51/D51-1&gt;0,0,C51/D51-1)*-1</f>
        <v>0</v>
      </c>
      <c r="E52" s="49"/>
    </row>
    <row r="53" spans="1:17" x14ac:dyDescent="0.25">
      <c r="A53" s="48"/>
      <c r="B53" s="49" t="s">
        <v>14</v>
      </c>
      <c r="C53" s="49"/>
      <c r="D53" s="61">
        <f>IF(C51/D51-1&lt;0,0,C51/D51-1)</f>
        <v>0.515734391726965</v>
      </c>
      <c r="E53" s="49"/>
    </row>
    <row r="54" spans="1:17" x14ac:dyDescent="0.25">
      <c r="A54" s="49"/>
      <c r="B54" s="49"/>
      <c r="C54" s="49"/>
      <c r="D54" s="51"/>
      <c r="E54" s="51"/>
    </row>
    <row r="55" spans="1:17" x14ac:dyDescent="0.25">
      <c r="A55" s="51" t="s">
        <v>22</v>
      </c>
      <c r="B55" s="49"/>
      <c r="C55" s="53">
        <f>D46</f>
        <v>9.8809000000000008E-2</v>
      </c>
      <c r="D55" s="52"/>
      <c r="E55" s="49"/>
      <c r="J55" s="75"/>
    </row>
    <row r="56" spans="1:17" x14ac:dyDescent="0.25">
      <c r="A56" s="51"/>
      <c r="B56" s="49"/>
      <c r="C56" s="53"/>
      <c r="D56" s="52"/>
      <c r="E56" s="49"/>
    </row>
    <row r="57" spans="1:17" hidden="1" x14ac:dyDescent="0.25">
      <c r="A57" s="51" t="s">
        <v>25</v>
      </c>
      <c r="B57" s="79">
        <v>0.108</v>
      </c>
      <c r="C57" s="53"/>
      <c r="D57" s="80">
        <f>SUM(H57:Q57)*1000</f>
        <v>13237400.759203829</v>
      </c>
      <c r="E57" s="49"/>
      <c r="F57" s="1" t="s">
        <v>26</v>
      </c>
      <c r="H57" s="1">
        <f>G15/(1+$B$57)</f>
        <v>1103.2957689530683</v>
      </c>
      <c r="I57" s="1">
        <f>H15/(1+$B$57)^2</f>
        <v>1104.6715485670343</v>
      </c>
      <c r="J57" s="1">
        <f>I15/(1+$B$57)^3</f>
        <v>1130.1954560598263</v>
      </c>
      <c r="K57" s="1">
        <f>J15/(1+$B$57)^4</f>
        <v>1014.9557283909625</v>
      </c>
      <c r="L57" s="1">
        <f>K15/(1+$B$57)^5</f>
        <v>943.50577639232063</v>
      </c>
      <c r="M57" s="1">
        <f>L15/(1+$B$57)^6</f>
        <v>294.1681941492302</v>
      </c>
      <c r="N57" s="1">
        <f>M15/(1+$B$57)^7</f>
        <v>723.47322117026386</v>
      </c>
      <c r="O57" s="1">
        <f>N15/(1+$B$57)^8</f>
        <v>638.91565606056213</v>
      </c>
      <c r="P57" s="1">
        <f>O15/(1+$B$57)^9</f>
        <v>593.93783911767048</v>
      </c>
      <c r="Q57" s="1">
        <f>(Q15/(B57-Q12))/(1+B57)^10</f>
        <v>5690.2815703428914</v>
      </c>
    </row>
    <row r="58" spans="1:17" ht="16.5" thickBot="1" x14ac:dyDescent="0.3">
      <c r="A58" s="23"/>
      <c r="C58" s="70"/>
      <c r="D58" s="71"/>
    </row>
    <row r="59" spans="1:17" x14ac:dyDescent="0.25">
      <c r="A59" s="62" t="s">
        <v>43</v>
      </c>
      <c r="B59" s="24"/>
      <c r="C59" s="72">
        <v>18</v>
      </c>
      <c r="D59" s="24"/>
      <c r="E59" s="25"/>
    </row>
    <row r="60" spans="1:17" x14ac:dyDescent="0.25">
      <c r="A60" s="26" t="s">
        <v>24</v>
      </c>
      <c r="B60" s="27"/>
      <c r="C60" s="73"/>
      <c r="D60" s="27"/>
      <c r="E60" s="28"/>
    </row>
    <row r="61" spans="1:17" x14ac:dyDescent="0.25">
      <c r="A61" s="26"/>
      <c r="B61" s="27"/>
      <c r="C61" s="73"/>
      <c r="D61" s="27"/>
      <c r="E61" s="28"/>
    </row>
    <row r="62" spans="1:17" x14ac:dyDescent="0.25">
      <c r="A62" s="26" t="s">
        <v>40</v>
      </c>
      <c r="B62" s="27"/>
      <c r="C62" s="73"/>
      <c r="D62" s="27"/>
      <c r="E62" s="63">
        <f>P17*C59</f>
        <v>88.960078948211219</v>
      </c>
    </row>
    <row r="63" spans="1:17" x14ac:dyDescent="0.25">
      <c r="A63" s="26"/>
      <c r="B63" s="27"/>
      <c r="C63" s="73"/>
      <c r="D63" s="27"/>
      <c r="E63" s="28"/>
    </row>
    <row r="64" spans="1:17" x14ac:dyDescent="0.25">
      <c r="A64" s="26" t="s">
        <v>17</v>
      </c>
      <c r="B64" s="27"/>
      <c r="C64" s="74">
        <v>0.3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3">
        <f>SUM(G17:Q17)*C64</f>
        <v>12.937525976626855</v>
      </c>
    </row>
    <row r="67" spans="1:5" x14ac:dyDescent="0.25">
      <c r="A67" s="26"/>
      <c r="B67" s="27"/>
      <c r="C67" s="27"/>
      <c r="D67" s="27"/>
      <c r="E67" s="64"/>
    </row>
    <row r="68" spans="1:5" x14ac:dyDescent="0.25">
      <c r="A68" s="65" t="s">
        <v>46</v>
      </c>
      <c r="B68" s="27"/>
      <c r="C68" s="27"/>
      <c r="D68" s="27"/>
      <c r="E68" s="66">
        <f>(E66*0.25)*-1</f>
        <v>-3.2343814941567137</v>
      </c>
    </row>
    <row r="69" spans="1:5" x14ac:dyDescent="0.25">
      <c r="A69" s="26"/>
      <c r="B69" s="27"/>
      <c r="C69" s="46"/>
      <c r="D69" s="46"/>
      <c r="E69" s="67"/>
    </row>
    <row r="70" spans="1:5" x14ac:dyDescent="0.25">
      <c r="A70" s="26" t="s">
        <v>19</v>
      </c>
      <c r="B70" s="27"/>
      <c r="C70" s="27"/>
      <c r="D70" s="27"/>
      <c r="E70" s="63">
        <f>SUM(E62:E68)</f>
        <v>98.66322343068137</v>
      </c>
    </row>
    <row r="71" spans="1:5" x14ac:dyDescent="0.25">
      <c r="A71" s="26"/>
      <c r="B71" s="27"/>
      <c r="C71" s="27"/>
      <c r="D71" s="27"/>
      <c r="E71" s="63"/>
    </row>
    <row r="72" spans="1:5" x14ac:dyDescent="0.25">
      <c r="A72" s="26" t="s">
        <v>20</v>
      </c>
      <c r="B72" s="27"/>
      <c r="C72" s="27"/>
      <c r="D72" s="27"/>
      <c r="E72" s="67">
        <f>E70/C51-1</f>
        <v>0.39099426802032089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68" t="s">
        <v>21</v>
      </c>
      <c r="B74" s="69"/>
      <c r="C74" s="69"/>
      <c r="D74" s="69"/>
      <c r="E74" s="90">
        <f>(E70/C51)^(1/10)-1</f>
        <v>3.3552481508978049E-2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abSelected="1" topLeftCell="A34" zoomScaleNormal="10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9" width="12.375" style="1" bestFit="1" customWidth="1"/>
    <col min="10" max="16" width="13.375" style="1" bestFit="1" customWidth="1"/>
    <col min="17" max="18" width="10.625" style="1" customWidth="1"/>
    <col min="19" max="16384" width="10.625" style="1"/>
  </cols>
  <sheetData>
    <row r="2" spans="1:28" ht="26.25" x14ac:dyDescent="0.4">
      <c r="B2" s="33" t="s">
        <v>10</v>
      </c>
    </row>
    <row r="4" spans="1:28" x14ac:dyDescent="0.25">
      <c r="B4" s="23" t="s">
        <v>47</v>
      </c>
      <c r="L4" s="27"/>
      <c r="M4" s="27"/>
      <c r="N4" s="27"/>
      <c r="O4" s="27"/>
      <c r="P4" s="27"/>
      <c r="Q4" s="27"/>
      <c r="R4" s="27"/>
      <c r="S4" s="27"/>
    </row>
    <row r="5" spans="1:28" x14ac:dyDescent="0.25">
      <c r="L5" s="27"/>
      <c r="M5" s="27"/>
      <c r="N5" s="27"/>
      <c r="O5" s="27"/>
      <c r="P5" s="27"/>
      <c r="Q5" s="27"/>
      <c r="R5" s="27"/>
      <c r="S5" s="27"/>
    </row>
    <row r="6" spans="1:28" x14ac:dyDescent="0.25">
      <c r="B6" s="1" t="s">
        <v>36</v>
      </c>
      <c r="L6" s="27"/>
      <c r="M6" s="27"/>
      <c r="N6" s="27"/>
      <c r="O6" s="27"/>
      <c r="P6" s="27"/>
      <c r="Q6" s="27"/>
      <c r="R6" s="27"/>
      <c r="S6" s="27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>
        <v>2019</v>
      </c>
      <c r="E10" s="11">
        <v>2020</v>
      </c>
      <c r="F10" s="11">
        <v>2021</v>
      </c>
      <c r="G10" s="58">
        <v>2022</v>
      </c>
      <c r="H10" s="58">
        <v>2023</v>
      </c>
      <c r="I10" s="58">
        <v>2024</v>
      </c>
      <c r="J10" s="58">
        <v>2025</v>
      </c>
      <c r="K10" s="58">
        <v>2026</v>
      </c>
      <c r="L10" s="58">
        <v>2027</v>
      </c>
      <c r="M10" s="58">
        <v>2028</v>
      </c>
      <c r="N10" s="58">
        <v>2029</v>
      </c>
      <c r="O10" s="58">
        <v>2030</v>
      </c>
      <c r="P10" s="58">
        <v>2031</v>
      </c>
      <c r="Q10" s="58" t="s">
        <v>45</v>
      </c>
    </row>
    <row r="11" spans="1:28" x14ac:dyDescent="0.25">
      <c r="A11" s="5"/>
      <c r="B11" s="4" t="s">
        <v>4</v>
      </c>
      <c r="C11" s="89"/>
      <c r="D11" s="89">
        <v>11456</v>
      </c>
      <c r="E11" s="89">
        <v>11758</v>
      </c>
      <c r="F11" s="89">
        <v>13932</v>
      </c>
      <c r="G11" s="78">
        <v>15917.34</v>
      </c>
      <c r="H11" s="78">
        <v>16867.73</v>
      </c>
      <c r="I11" s="78">
        <v>18001.759999999998</v>
      </c>
      <c r="J11" s="78">
        <f t="shared" ref="J11:Q11" si="0">I11*(1+J12)</f>
        <v>19081.865600000001</v>
      </c>
      <c r="K11" s="78">
        <f t="shared" si="0"/>
        <v>20035.958880000002</v>
      </c>
      <c r="L11" s="78">
        <f t="shared" si="0"/>
        <v>21037.756824000004</v>
      </c>
      <c r="M11" s="78">
        <f t="shared" si="0"/>
        <v>22089.644665200005</v>
      </c>
      <c r="N11" s="78">
        <f t="shared" si="0"/>
        <v>22973.230451808005</v>
      </c>
      <c r="O11" s="78">
        <f t="shared" si="0"/>
        <v>23892.159669880326</v>
      </c>
      <c r="P11" s="78">
        <f t="shared" si="0"/>
        <v>24847.846056675538</v>
      </c>
      <c r="Q11" s="78">
        <f t="shared" si="0"/>
        <v>25344.802977809049</v>
      </c>
    </row>
    <row r="12" spans="1:28" x14ac:dyDescent="0.25">
      <c r="A12" s="5"/>
      <c r="B12" s="4" t="s">
        <v>1</v>
      </c>
      <c r="C12" s="95"/>
      <c r="D12" s="95"/>
      <c r="E12" s="95">
        <f t="shared" ref="E12" si="1">E11/D11-1</f>
        <v>2.6361731843575376E-2</v>
      </c>
      <c r="F12" s="95">
        <f t="shared" ref="F12" si="2">F11/E11-1</f>
        <v>0.18489539037251235</v>
      </c>
      <c r="G12" s="94">
        <f t="shared" ref="G12" si="3">G11/F11-1</f>
        <v>0.14250215331610683</v>
      </c>
      <c r="H12" s="94">
        <f t="shared" ref="H12" si="4">H11/G11-1</f>
        <v>5.9707840631663345E-2</v>
      </c>
      <c r="I12" s="94">
        <f t="shared" ref="I12" si="5">I11/H11-1</f>
        <v>6.7230741777346337E-2</v>
      </c>
      <c r="J12" s="94">
        <v>0.06</v>
      </c>
      <c r="K12" s="94">
        <v>0.05</v>
      </c>
      <c r="L12" s="77">
        <v>0.05</v>
      </c>
      <c r="M12" s="77">
        <v>0.05</v>
      </c>
      <c r="N12" s="77">
        <v>0.04</v>
      </c>
      <c r="O12" s="77">
        <v>0.04</v>
      </c>
      <c r="P12" s="94">
        <v>0.04</v>
      </c>
      <c r="Q12" s="13">
        <v>0.02</v>
      </c>
    </row>
    <row r="13" spans="1:28" ht="15.95" customHeight="1" x14ac:dyDescent="0.25">
      <c r="A13" s="5"/>
      <c r="B13" s="4" t="s">
        <v>15</v>
      </c>
      <c r="C13" s="95"/>
      <c r="D13" s="95">
        <v>8.7499999999999994E-2</v>
      </c>
      <c r="E13" s="95">
        <v>0.111</v>
      </c>
      <c r="F13" s="95">
        <v>8.8400000000000006E-2</v>
      </c>
      <c r="G13" s="77">
        <v>0.111</v>
      </c>
      <c r="H13" s="77">
        <v>0.1139</v>
      </c>
      <c r="I13" s="77">
        <v>0.1202</v>
      </c>
      <c r="J13" s="93">
        <v>0.122</v>
      </c>
      <c r="K13" s="77">
        <v>0.125</v>
      </c>
      <c r="L13" s="77">
        <v>0.125</v>
      </c>
      <c r="M13" s="77">
        <v>0.125</v>
      </c>
      <c r="N13" s="77">
        <v>0.13</v>
      </c>
      <c r="O13" s="77">
        <v>0.13100000000000001</v>
      </c>
      <c r="P13" s="94">
        <v>0.13200000000000001</v>
      </c>
      <c r="Q13" s="77">
        <v>0.13500000000000001</v>
      </c>
    </row>
    <row r="14" spans="1:28" ht="17.100000000000001" customHeight="1" x14ac:dyDescent="0.25">
      <c r="A14" s="5"/>
      <c r="B14" s="4" t="s">
        <v>16</v>
      </c>
      <c r="C14" s="89"/>
      <c r="D14" s="89">
        <f>D11*D13</f>
        <v>1002.4</v>
      </c>
      <c r="E14" s="89">
        <f t="shared" ref="E14:F14" si="6">E11*E13</f>
        <v>1305.1379999999999</v>
      </c>
      <c r="F14" s="89">
        <f t="shared" si="6"/>
        <v>1231.5888</v>
      </c>
      <c r="G14" s="78">
        <f>G11*G13</f>
        <v>1766.82474</v>
      </c>
      <c r="H14" s="78">
        <f t="shared" ref="H14:I14" si="7">H11*H13</f>
        <v>1921.234447</v>
      </c>
      <c r="I14" s="78">
        <f t="shared" si="7"/>
        <v>2163.8115519999997</v>
      </c>
      <c r="J14" s="78">
        <f t="shared" ref="J14:Q14" si="8">J11*J13</f>
        <v>2327.9876032000002</v>
      </c>
      <c r="K14" s="78">
        <f t="shared" si="8"/>
        <v>2504.4948600000002</v>
      </c>
      <c r="L14" s="78">
        <f t="shared" si="8"/>
        <v>2629.7196030000005</v>
      </c>
      <c r="M14" s="78">
        <f t="shared" si="8"/>
        <v>2761.2055831500006</v>
      </c>
      <c r="N14" s="78">
        <f t="shared" si="8"/>
        <v>2986.5199587350407</v>
      </c>
      <c r="O14" s="78">
        <f t="shared" si="8"/>
        <v>3129.8729167543229</v>
      </c>
      <c r="P14" s="78">
        <f t="shared" si="8"/>
        <v>3279.9156794811711</v>
      </c>
      <c r="Q14" s="78">
        <f t="shared" si="8"/>
        <v>3421.5484020042218</v>
      </c>
    </row>
    <row r="15" spans="1:28" x14ac:dyDescent="0.25">
      <c r="A15" s="12">
        <v>0.25</v>
      </c>
      <c r="B15" s="4" t="s">
        <v>42</v>
      </c>
      <c r="C15" s="89"/>
      <c r="D15" s="89">
        <f>D11*0.0494</f>
        <v>565.92639999999994</v>
      </c>
      <c r="E15" s="89">
        <f>E11*0.0498</f>
        <v>585.54840000000002</v>
      </c>
      <c r="F15" s="89">
        <f>F11*0.0663</f>
        <v>923.69159999999999</v>
      </c>
      <c r="G15" s="78">
        <f>G11*0.0768</f>
        <v>1222.4517119999998</v>
      </c>
      <c r="H15" s="78">
        <f>H11*0.0804</f>
        <v>1356.1654919999999</v>
      </c>
      <c r="I15" s="78">
        <f>I11*0.0854</f>
        <v>1537.3503039999998</v>
      </c>
      <c r="J15" s="78">
        <f t="shared" ref="J15:K15" si="9">J14*(1-$A$15)</f>
        <v>1745.9907024000001</v>
      </c>
      <c r="K15" s="78">
        <f t="shared" si="9"/>
        <v>1878.3711450000001</v>
      </c>
      <c r="L15" s="78">
        <f>L14*(1-$A$15)</f>
        <v>1972.2897022500003</v>
      </c>
      <c r="M15" s="78">
        <f t="shared" ref="M15:P15" si="10">M14*(1-$A$15)</f>
        <v>2070.9041873625006</v>
      </c>
      <c r="N15" s="78">
        <f t="shared" si="10"/>
        <v>2239.8899690512808</v>
      </c>
      <c r="O15" s="78">
        <f t="shared" si="10"/>
        <v>2347.4046875657423</v>
      </c>
      <c r="P15" s="78">
        <f t="shared" si="10"/>
        <v>2459.9367596108782</v>
      </c>
      <c r="Q15" s="78">
        <f>Q14*(1-$A$15)</f>
        <v>2566.1613015031662</v>
      </c>
    </row>
    <row r="16" spans="1:28" ht="32.25" hidden="1" thickBot="1" x14ac:dyDescent="0.3">
      <c r="A16" s="14" t="s">
        <v>6</v>
      </c>
      <c r="B16" s="15"/>
      <c r="C16" s="16" t="e">
        <f t="shared" ref="C16:J16" si="11">C15/C14</f>
        <v>#DIV/0!</v>
      </c>
      <c r="D16" s="16">
        <f t="shared" si="11"/>
        <v>0.5645714285714285</v>
      </c>
      <c r="E16" s="16">
        <f t="shared" si="11"/>
        <v>0.44864864864864867</v>
      </c>
      <c r="F16" s="16">
        <f t="shared" si="11"/>
        <v>0.75</v>
      </c>
      <c r="G16" s="16">
        <f t="shared" si="11"/>
        <v>0.69189189189189182</v>
      </c>
      <c r="H16" s="16">
        <f t="shared" si="11"/>
        <v>0.70588235294117641</v>
      </c>
      <c r="I16" s="16">
        <f t="shared" si="11"/>
        <v>0.71048252911813647</v>
      </c>
      <c r="J16" s="16">
        <f t="shared" si="11"/>
        <v>0.75</v>
      </c>
    </row>
    <row r="17" spans="1:18" x14ac:dyDescent="0.25">
      <c r="A17" s="2" t="s">
        <v>39</v>
      </c>
      <c r="C17" s="89"/>
      <c r="D17" s="89"/>
      <c r="E17" s="89"/>
      <c r="F17" s="89"/>
      <c r="G17" s="78">
        <f>G15/G18</f>
        <v>3.7508183458314406</v>
      </c>
      <c r="H17" s="78">
        <f t="shared" ref="H17:P17" si="12">H15/H18</f>
        <v>4.2031202313888647</v>
      </c>
      <c r="I17" s="78">
        <f t="shared" si="12"/>
        <v>4.8127883944735057</v>
      </c>
      <c r="J17" s="78">
        <f t="shared" si="12"/>
        <v>5.5211641754782654</v>
      </c>
      <c r="K17" s="78">
        <f t="shared" si="12"/>
        <v>5.9846619980304929</v>
      </c>
      <c r="L17" s="78">
        <f t="shared" si="12"/>
        <v>6.3313804513168952</v>
      </c>
      <c r="M17" s="78">
        <f t="shared" si="12"/>
        <v>6.6981858678919304</v>
      </c>
      <c r="N17" s="78">
        <f t="shared" si="12"/>
        <v>7.2995041155787526</v>
      </c>
      <c r="O17" s="78">
        <f t="shared" si="12"/>
        <v>7.7076879729234582</v>
      </c>
      <c r="P17" s="78">
        <f t="shared" si="12"/>
        <v>8.1382229693920607</v>
      </c>
      <c r="Q17" s="78"/>
    </row>
    <row r="18" spans="1:18" ht="32.25" thickBot="1" x14ac:dyDescent="0.3">
      <c r="A18" s="2" t="s">
        <v>41</v>
      </c>
      <c r="C18" s="89"/>
      <c r="D18" s="89"/>
      <c r="E18" s="89"/>
      <c r="F18" s="89"/>
      <c r="G18" s="78">
        <f>D50</f>
        <v>325.916</v>
      </c>
      <c r="H18" s="78">
        <f>G18*0.99</f>
        <v>322.65683999999999</v>
      </c>
      <c r="I18" s="78">
        <f t="shared" ref="I18:J18" si="13">H18*0.99</f>
        <v>319.43027159999997</v>
      </c>
      <c r="J18" s="78">
        <f t="shared" si="13"/>
        <v>316.23596888399999</v>
      </c>
      <c r="K18" s="78">
        <f>J18*0.9925</f>
        <v>313.86419911736999</v>
      </c>
      <c r="L18" s="78">
        <f t="shared" ref="L18:P18" si="14">K18*0.9925</f>
        <v>311.51021762398972</v>
      </c>
      <c r="M18" s="78">
        <f t="shared" si="14"/>
        <v>309.1738909918098</v>
      </c>
      <c r="N18" s="78">
        <f t="shared" si="14"/>
        <v>306.85508680937124</v>
      </c>
      <c r="O18" s="78">
        <f t="shared" si="14"/>
        <v>304.55367365830097</v>
      </c>
      <c r="P18" s="78">
        <f t="shared" si="14"/>
        <v>302.2695211058637</v>
      </c>
      <c r="Q18" s="78"/>
    </row>
    <row r="19" spans="1:18" ht="16.5" thickBot="1" x14ac:dyDescent="0.3">
      <c r="A19" s="2"/>
      <c r="E19" s="54" t="s">
        <v>12</v>
      </c>
      <c r="F19" s="55"/>
      <c r="G19" s="56">
        <f>G15/(1+$C$55)</f>
        <v>1112.5242985814641</v>
      </c>
      <c r="H19" s="56">
        <f>H15/(1+$C$55)^2</f>
        <v>1123.2289116656832</v>
      </c>
      <c r="I19" s="56">
        <f>I15/(1+$C$55)^3</f>
        <v>1158.7939370773563</v>
      </c>
      <c r="J19" s="56">
        <f>J15/(1+$C$55)^4</f>
        <v>1197.7139143726117</v>
      </c>
      <c r="K19" s="56">
        <f>K15/(1+$C$55)^5</f>
        <v>1172.6552937473723</v>
      </c>
      <c r="L19" s="56">
        <f>L15/(1+$C$55)^6</f>
        <v>1120.5660478160821</v>
      </c>
      <c r="M19" s="56">
        <f>M15/(1+$C$55)^7</f>
        <v>1070.7906016485906</v>
      </c>
      <c r="N19" s="56">
        <f>N15/(1+$C$55)^8</f>
        <v>1054.020411866954</v>
      </c>
      <c r="O19" s="56">
        <f>O15/(1+$C$55)^9</f>
        <v>1005.2824391104986</v>
      </c>
      <c r="P19" s="56">
        <f>P15/(1+$C$55)^10</f>
        <v>958.74224264072359</v>
      </c>
      <c r="Q19" s="57">
        <f>(Q15/(C55-Q12))/(1+C55)^10</f>
        <v>12690.71395203167</v>
      </c>
    </row>
    <row r="20" spans="1:18" x14ac:dyDescent="0.25">
      <c r="A20" s="2"/>
      <c r="C20" s="81"/>
      <c r="D20" s="91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4" t="s">
        <v>27</v>
      </c>
      <c r="B23" s="35"/>
      <c r="C23" s="35"/>
      <c r="D23" s="36"/>
      <c r="E23" s="24"/>
      <c r="F23" s="35"/>
      <c r="G23" s="62" t="s">
        <v>28</v>
      </c>
      <c r="H23" s="24"/>
      <c r="I23" s="85">
        <v>2.5000000000000001E-2</v>
      </c>
      <c r="J23" s="25" t="s">
        <v>29</v>
      </c>
    </row>
    <row r="24" spans="1:18" x14ac:dyDescent="0.25">
      <c r="A24" s="37"/>
      <c r="B24" s="38"/>
      <c r="C24" s="38"/>
      <c r="D24" s="39"/>
      <c r="E24" s="38"/>
      <c r="F24" s="38"/>
      <c r="G24" s="26"/>
      <c r="H24" s="27"/>
      <c r="I24" s="86"/>
      <c r="J24" s="28"/>
    </row>
    <row r="25" spans="1:18" x14ac:dyDescent="0.25">
      <c r="A25" s="37"/>
      <c r="B25" s="38"/>
      <c r="C25" s="38"/>
      <c r="D25" s="40"/>
      <c r="E25" s="27"/>
      <c r="F25" s="38"/>
      <c r="G25" s="26" t="s">
        <v>30</v>
      </c>
      <c r="H25" s="27"/>
      <c r="I25" s="87">
        <f>(I27-I23)*I29</f>
        <v>7.3809E-2</v>
      </c>
      <c r="J25" s="28"/>
    </row>
    <row r="26" spans="1:18" x14ac:dyDescent="0.25">
      <c r="A26" s="37"/>
      <c r="B26" s="38"/>
      <c r="C26" s="38"/>
      <c r="D26" s="40"/>
      <c r="E26" s="27"/>
      <c r="F26" s="38"/>
      <c r="G26" s="26"/>
      <c r="H26" s="27"/>
      <c r="I26" s="86"/>
      <c r="J26" s="28"/>
    </row>
    <row r="27" spans="1:18" x14ac:dyDescent="0.25">
      <c r="A27" s="37"/>
      <c r="B27" s="38"/>
      <c r="C27" s="38"/>
      <c r="D27" s="40"/>
      <c r="E27" s="27"/>
      <c r="F27" s="38"/>
      <c r="G27" s="26" t="s">
        <v>31</v>
      </c>
      <c r="H27" s="27"/>
      <c r="I27" s="88">
        <v>7.0000000000000007E-2</v>
      </c>
      <c r="J27" s="28" t="s">
        <v>32</v>
      </c>
    </row>
    <row r="28" spans="1:18" x14ac:dyDescent="0.25">
      <c r="A28" s="37"/>
      <c r="B28" s="38"/>
      <c r="C28" s="38"/>
      <c r="D28" s="41"/>
      <c r="E28" s="27"/>
      <c r="F28" s="38"/>
      <c r="G28" s="26"/>
      <c r="H28" s="27"/>
      <c r="I28" s="86"/>
      <c r="J28" s="28"/>
    </row>
    <row r="29" spans="1:18" x14ac:dyDescent="0.25">
      <c r="A29" s="37"/>
      <c r="B29" s="38"/>
      <c r="C29" s="38"/>
      <c r="D29" s="41"/>
      <c r="E29" s="27"/>
      <c r="F29" s="38"/>
      <c r="G29" s="26" t="s">
        <v>38</v>
      </c>
      <c r="H29" s="27"/>
      <c r="I29" s="97">
        <f>1.18*1.39</f>
        <v>1.6401999999999999</v>
      </c>
      <c r="J29" s="28" t="s">
        <v>33</v>
      </c>
    </row>
    <row r="30" spans="1:18" x14ac:dyDescent="0.25">
      <c r="A30" s="37"/>
      <c r="B30" s="38"/>
      <c r="C30" s="38"/>
      <c r="D30" s="42"/>
      <c r="E30" s="27"/>
      <c r="F30" s="38"/>
      <c r="G30" s="26"/>
      <c r="H30" s="27"/>
      <c r="I30" s="86"/>
      <c r="J30" s="28"/>
    </row>
    <row r="31" spans="1:18" x14ac:dyDescent="0.25">
      <c r="A31" s="37"/>
      <c r="B31" s="38"/>
      <c r="C31" s="38"/>
      <c r="D31" s="39"/>
      <c r="E31" s="27"/>
      <c r="F31" s="38"/>
      <c r="G31" s="26" t="s">
        <v>34</v>
      </c>
      <c r="H31" s="27"/>
      <c r="I31" s="88">
        <f>I23+(I27-I23)*I29</f>
        <v>9.8809000000000008E-2</v>
      </c>
      <c r="J31" s="28" t="s">
        <v>35</v>
      </c>
    </row>
    <row r="32" spans="1:18" x14ac:dyDescent="0.25">
      <c r="A32" s="26"/>
      <c r="B32" s="27"/>
      <c r="C32" s="43"/>
      <c r="D32" s="27"/>
      <c r="E32" s="38"/>
      <c r="F32" s="38"/>
      <c r="G32" s="26"/>
      <c r="H32" s="27"/>
      <c r="I32" s="27"/>
      <c r="J32" s="28"/>
    </row>
    <row r="33" spans="1:10" x14ac:dyDescent="0.25">
      <c r="A33" s="26"/>
      <c r="B33" s="27"/>
      <c r="C33" s="27"/>
      <c r="D33" s="27"/>
      <c r="E33" s="27"/>
      <c r="F33" s="27"/>
      <c r="G33" s="82" t="s">
        <v>37</v>
      </c>
      <c r="H33" s="83"/>
      <c r="I33" s="84">
        <f>I31</f>
        <v>9.8809000000000008E-2</v>
      </c>
      <c r="J33" s="28"/>
    </row>
    <row r="34" spans="1:10" x14ac:dyDescent="0.25">
      <c r="A34" s="37" t="s">
        <v>7</v>
      </c>
      <c r="B34" s="38"/>
      <c r="C34" s="44"/>
      <c r="D34" s="29"/>
      <c r="E34" s="27"/>
      <c r="F34" s="27"/>
      <c r="G34" s="26"/>
      <c r="H34" s="27"/>
      <c r="I34" s="27"/>
      <c r="J34" s="28"/>
    </row>
    <row r="35" spans="1:10" ht="15.75" hidden="1" customHeight="1" x14ac:dyDescent="0.25">
      <c r="A35" s="26"/>
      <c r="B35" s="27"/>
      <c r="C35" s="27"/>
      <c r="D35" s="27"/>
      <c r="E35" s="27"/>
      <c r="F35" s="27"/>
      <c r="G35" s="26"/>
      <c r="H35" s="27"/>
      <c r="I35" s="27"/>
      <c r="J35" s="28"/>
    </row>
    <row r="36" spans="1:10" ht="15.75" hidden="1" customHeight="1" x14ac:dyDescent="0.25">
      <c r="A36" s="26"/>
      <c r="B36" s="27" t="s">
        <v>8</v>
      </c>
      <c r="C36" s="27"/>
      <c r="D36" s="45">
        <v>0.08</v>
      </c>
      <c r="E36" s="27"/>
      <c r="F36" s="27"/>
      <c r="G36" s="26"/>
      <c r="H36" s="27"/>
      <c r="I36" s="27"/>
      <c r="J36" s="28"/>
    </row>
    <row r="37" spans="1:10" ht="15.75" hidden="1" customHeight="1" x14ac:dyDescent="0.25">
      <c r="A37" s="26"/>
      <c r="B37" s="27"/>
      <c r="C37" s="27"/>
      <c r="D37" s="27"/>
      <c r="E37" s="27"/>
      <c r="F37" s="27"/>
      <c r="G37" s="26"/>
      <c r="H37" s="27"/>
      <c r="I37" s="27"/>
      <c r="J37" s="28"/>
    </row>
    <row r="38" spans="1:10" ht="15.75" hidden="1" customHeight="1" x14ac:dyDescent="0.25">
      <c r="A38" s="26"/>
      <c r="B38" s="27"/>
      <c r="C38" s="27"/>
      <c r="D38" s="27"/>
      <c r="E38" s="27"/>
      <c r="F38" s="27"/>
      <c r="G38" s="26"/>
      <c r="H38" s="27"/>
      <c r="I38" s="27"/>
      <c r="J38" s="28"/>
    </row>
    <row r="39" spans="1:10" ht="15.75" hidden="1" customHeight="1" x14ac:dyDescent="0.25">
      <c r="A39" s="26"/>
      <c r="B39" s="27"/>
      <c r="C39" s="27"/>
      <c r="D39" s="27"/>
      <c r="E39" s="27"/>
      <c r="F39" s="27"/>
      <c r="G39" s="26"/>
      <c r="H39" s="27"/>
      <c r="I39" s="27"/>
      <c r="J39" s="28"/>
    </row>
    <row r="40" spans="1:10" hidden="1" x14ac:dyDescent="0.25">
      <c r="A40" s="26"/>
      <c r="B40" s="46"/>
      <c r="C40" s="46">
        <v>0.12</v>
      </c>
      <c r="D40" s="46" t="e">
        <f>((NPV(C40,$G$15:$Q$15)+(#REF!*(1+#REF!)/(C40-#REF!))/(1+C40)^(2040-2020))/$D$50)/$C$51-1</f>
        <v>#REF!</v>
      </c>
      <c r="E40" s="27"/>
      <c r="F40" s="27"/>
      <c r="G40" s="26"/>
      <c r="H40" s="27"/>
      <c r="I40" s="27"/>
      <c r="J40" s="28"/>
    </row>
    <row r="41" spans="1:10" hidden="1" x14ac:dyDescent="0.25">
      <c r="A41" s="26"/>
      <c r="B41" s="46"/>
      <c r="C41" s="46">
        <v>0.14000000000000001</v>
      </c>
      <c r="D41" s="46" t="e">
        <f>((NPV(C41,$G$15:$Q$15)+(#REF!*(1+#REF!)/(C41-#REF!))/(1+C41)^(2040-2020))/$D$50)/$C$51-1</f>
        <v>#REF!</v>
      </c>
      <c r="E41" s="27"/>
      <c r="F41" s="27"/>
      <c r="G41" s="26"/>
      <c r="H41" s="27"/>
      <c r="I41" s="27"/>
      <c r="J41" s="28"/>
    </row>
    <row r="42" spans="1:10" hidden="1" x14ac:dyDescent="0.25">
      <c r="A42" s="26"/>
      <c r="B42" s="46"/>
      <c r="C42" s="46">
        <v>0.16</v>
      </c>
      <c r="D42" s="46" t="e">
        <f>((NPV(C42,$G$15:$Q$15)+(#REF!*(1+#REF!)/(C42-#REF!))/(1+C42)^(2040-2020))/$D$50)/$C$51-1</f>
        <v>#REF!</v>
      </c>
      <c r="E42" s="27"/>
      <c r="F42" s="27"/>
      <c r="G42" s="26"/>
      <c r="H42" s="27"/>
      <c r="I42" s="27"/>
      <c r="J42" s="28"/>
    </row>
    <row r="43" spans="1:10" hidden="1" x14ac:dyDescent="0.25">
      <c r="A43" s="26"/>
      <c r="B43" s="46"/>
      <c r="C43" s="46">
        <v>0.18</v>
      </c>
      <c r="D43" s="46" t="e">
        <f>((NPV(C43,$G$15:$Q$15)+(#REF!*(1+#REF!)/(C43-#REF!))/(1+C43)^(2040-2020))/$D$50)/$C$51-1</f>
        <v>#REF!</v>
      </c>
      <c r="E43" s="27"/>
      <c r="F43" s="27"/>
      <c r="G43" s="26"/>
      <c r="H43" s="27"/>
      <c r="I43" s="27"/>
      <c r="J43" s="28"/>
    </row>
    <row r="44" spans="1:10" hidden="1" x14ac:dyDescent="0.25">
      <c r="A44" s="26"/>
      <c r="B44" s="46"/>
      <c r="C44" s="46">
        <v>0.2</v>
      </c>
      <c r="D44" s="46" t="e">
        <f>((NPV(C44,$G$15:$Q$15)+(#REF!*(1+#REF!)/(C44-#REF!))/(1+C44)^(2040-2020))/$D$50)/$C$51-1</f>
        <v>#REF!</v>
      </c>
      <c r="E44" s="27"/>
      <c r="F44" s="27"/>
      <c r="G44" s="26"/>
      <c r="H44" s="27"/>
      <c r="I44" s="27"/>
      <c r="J44" s="28"/>
    </row>
    <row r="45" spans="1:10" x14ac:dyDescent="0.25">
      <c r="A45" s="26"/>
      <c r="B45" s="27"/>
      <c r="C45" s="27"/>
      <c r="D45" s="27"/>
      <c r="E45" s="27"/>
      <c r="F45" s="27"/>
      <c r="G45" s="26"/>
      <c r="H45" s="27"/>
      <c r="I45" s="27"/>
      <c r="J45" s="28"/>
    </row>
    <row r="46" spans="1:10" ht="16.5" thickBot="1" x14ac:dyDescent="0.3">
      <c r="A46" s="30"/>
      <c r="B46" s="31" t="s">
        <v>23</v>
      </c>
      <c r="C46" s="31"/>
      <c r="D46" s="47">
        <f>I33</f>
        <v>9.8809000000000008E-2</v>
      </c>
      <c r="E46" s="31"/>
      <c r="F46" s="31"/>
      <c r="G46" s="30"/>
      <c r="H46" s="31"/>
      <c r="I46" s="31"/>
      <c r="J46" s="32"/>
    </row>
    <row r="48" spans="1:10" x14ac:dyDescent="0.25">
      <c r="A48" s="17"/>
      <c r="B48" s="18"/>
      <c r="C48" s="92">
        <v>44743</v>
      </c>
      <c r="D48" s="19" t="s">
        <v>3</v>
      </c>
      <c r="E48" s="20"/>
      <c r="F48" s="21"/>
      <c r="G48" s="22"/>
      <c r="H48" s="22"/>
      <c r="I48" s="22"/>
    </row>
    <row r="49" spans="1:17" x14ac:dyDescent="0.25">
      <c r="A49" s="48" t="s">
        <v>0</v>
      </c>
      <c r="B49" s="49" t="s">
        <v>5</v>
      </c>
      <c r="C49" s="76">
        <f>C50*C51</f>
        <v>23117.221880000001</v>
      </c>
      <c r="D49" s="50">
        <f>SUM(G19:Q19)</f>
        <v>23665.032050559006</v>
      </c>
      <c r="E49" s="49" t="s">
        <v>44</v>
      </c>
    </row>
    <row r="50" spans="1:17" x14ac:dyDescent="0.25">
      <c r="A50" s="48"/>
      <c r="B50" s="49" t="s">
        <v>11</v>
      </c>
      <c r="C50" s="96">
        <v>325.916</v>
      </c>
      <c r="D50" s="96">
        <f>C50</f>
        <v>325.916</v>
      </c>
      <c r="E50" s="49"/>
    </row>
    <row r="51" spans="1:17" x14ac:dyDescent="0.25">
      <c r="A51" s="48"/>
      <c r="B51" s="49" t="s">
        <v>13</v>
      </c>
      <c r="C51" s="49">
        <v>70.930000000000007</v>
      </c>
      <c r="D51" s="59">
        <f>D49/(D50)</f>
        <v>72.610832394110773</v>
      </c>
      <c r="E51" s="49" t="s">
        <v>44</v>
      </c>
    </row>
    <row r="52" spans="1:17" x14ac:dyDescent="0.25">
      <c r="A52" s="48"/>
      <c r="B52" s="49" t="s">
        <v>2</v>
      </c>
      <c r="C52" s="49"/>
      <c r="D52" s="60">
        <f>IF(C51/D51-1&gt;0,0,C51/D51-1)*-1</f>
        <v>2.3148507442907307E-2</v>
      </c>
      <c r="E52" s="49"/>
    </row>
    <row r="53" spans="1:17" x14ac:dyDescent="0.25">
      <c r="A53" s="48"/>
      <c r="B53" s="49" t="s">
        <v>14</v>
      </c>
      <c r="C53" s="49"/>
      <c r="D53" s="61">
        <f>IF(C51/D51-1&lt;0,0,C51/D51-1)</f>
        <v>0</v>
      </c>
      <c r="E53" s="49"/>
    </row>
    <row r="54" spans="1:17" x14ac:dyDescent="0.25">
      <c r="A54" s="49"/>
      <c r="B54" s="49"/>
      <c r="C54" s="49"/>
      <c r="D54" s="51"/>
      <c r="E54" s="51"/>
    </row>
    <row r="55" spans="1:17" x14ac:dyDescent="0.25">
      <c r="A55" s="51" t="s">
        <v>22</v>
      </c>
      <c r="B55" s="49"/>
      <c r="C55" s="53">
        <f>D46</f>
        <v>9.8809000000000008E-2</v>
      </c>
      <c r="D55" s="52"/>
      <c r="E55" s="49"/>
      <c r="J55" s="75"/>
    </row>
    <row r="56" spans="1:17" x14ac:dyDescent="0.25">
      <c r="A56" s="51"/>
      <c r="B56" s="49"/>
      <c r="C56" s="53"/>
      <c r="D56" s="52"/>
      <c r="E56" s="49"/>
    </row>
    <row r="57" spans="1:17" hidden="1" x14ac:dyDescent="0.25">
      <c r="A57" s="51" t="s">
        <v>25</v>
      </c>
      <c r="B57" s="79">
        <v>0.108</v>
      </c>
      <c r="C57" s="53"/>
      <c r="D57" s="80">
        <f>SUM(H57:Q57)*1000</f>
        <v>20073189.183449358</v>
      </c>
      <c r="E57" s="49"/>
      <c r="F57" s="1" t="s">
        <v>26</v>
      </c>
      <c r="H57" s="1">
        <f>G15/(1+$B$57)</f>
        <v>1103.2957689530683</v>
      </c>
      <c r="I57" s="1">
        <f>H15/(1+$B$57)^2</f>
        <v>1104.6715485670343</v>
      </c>
      <c r="J57" s="1">
        <f>I15/(1+$B$57)^3</f>
        <v>1130.1954560598263</v>
      </c>
      <c r="K57" s="1">
        <f>J15/(1+$B$57)^4</f>
        <v>1158.4649143470369</v>
      </c>
      <c r="L57" s="1">
        <f>K15/(1+$B$57)^5</f>
        <v>1124.8189028233455</v>
      </c>
      <c r="M57" s="1">
        <f>L15/(1+$B$57)^6</f>
        <v>1065.9384909427013</v>
      </c>
      <c r="N57" s="1">
        <f>M15/(1+$B$57)^7</f>
        <v>1010.1402666875779</v>
      </c>
      <c r="O57" s="1">
        <f>N15/(1+$B$57)^8</f>
        <v>986.07194264375812</v>
      </c>
      <c r="P57" s="1">
        <f>O15/(1+$B$57)^9</f>
        <v>932.67454502766998</v>
      </c>
      <c r="Q57" s="1">
        <f>(Q15/(B57-Q12))/(1+B57)^10</f>
        <v>10456.917347397339</v>
      </c>
    </row>
    <row r="58" spans="1:17" ht="16.5" thickBot="1" x14ac:dyDescent="0.3">
      <c r="A58" s="23"/>
      <c r="C58" s="70"/>
      <c r="D58" s="71"/>
    </row>
    <row r="59" spans="1:17" x14ac:dyDescent="0.25">
      <c r="A59" s="62" t="s">
        <v>43</v>
      </c>
      <c r="B59" s="24"/>
      <c r="C59" s="72">
        <v>23</v>
      </c>
      <c r="D59" s="24"/>
      <c r="E59" s="25"/>
    </row>
    <row r="60" spans="1:17" x14ac:dyDescent="0.25">
      <c r="A60" s="26" t="s">
        <v>24</v>
      </c>
      <c r="B60" s="27"/>
      <c r="C60" s="73"/>
      <c r="D60" s="27"/>
      <c r="E60" s="28"/>
    </row>
    <row r="61" spans="1:17" x14ac:dyDescent="0.25">
      <c r="A61" s="26"/>
      <c r="B61" s="27"/>
      <c r="C61" s="73"/>
      <c r="D61" s="27"/>
      <c r="E61" s="28"/>
    </row>
    <row r="62" spans="1:17" x14ac:dyDescent="0.25">
      <c r="A62" s="26" t="s">
        <v>40</v>
      </c>
      <c r="B62" s="27"/>
      <c r="C62" s="73"/>
      <c r="D62" s="27"/>
      <c r="E62" s="63">
        <f>P17*C59</f>
        <v>187.17912829601738</v>
      </c>
    </row>
    <row r="63" spans="1:17" x14ac:dyDescent="0.25">
      <c r="A63" s="26"/>
      <c r="B63" s="27"/>
      <c r="C63" s="73"/>
      <c r="D63" s="27"/>
      <c r="E63" s="28"/>
    </row>
    <row r="64" spans="1:17" x14ac:dyDescent="0.25">
      <c r="A64" s="26" t="s">
        <v>17</v>
      </c>
      <c r="B64" s="27"/>
      <c r="C64" s="74">
        <v>0.3</v>
      </c>
      <c r="D64" s="27"/>
      <c r="E64" s="28"/>
    </row>
    <row r="65" spans="1:5" x14ac:dyDescent="0.25">
      <c r="A65" s="26"/>
      <c r="B65" s="27"/>
      <c r="C65" s="27"/>
      <c r="D65" s="27"/>
      <c r="E65" s="28"/>
    </row>
    <row r="66" spans="1:5" x14ac:dyDescent="0.25">
      <c r="A66" s="26" t="s">
        <v>18</v>
      </c>
      <c r="B66" s="27"/>
      <c r="C66" s="27"/>
      <c r="D66" s="27"/>
      <c r="E66" s="63">
        <f>SUM(G17:Q17)*C64</f>
        <v>18.134260356691698</v>
      </c>
    </row>
    <row r="67" spans="1:5" x14ac:dyDescent="0.25">
      <c r="A67" s="26"/>
      <c r="B67" s="27"/>
      <c r="C67" s="27"/>
      <c r="D67" s="27"/>
      <c r="E67" s="64"/>
    </row>
    <row r="68" spans="1:5" x14ac:dyDescent="0.25">
      <c r="A68" s="65" t="s">
        <v>46</v>
      </c>
      <c r="B68" s="27"/>
      <c r="C68" s="27"/>
      <c r="D68" s="27"/>
      <c r="E68" s="66">
        <f>(E66*0.25)*-1</f>
        <v>-4.5335650891729244</v>
      </c>
    </row>
    <row r="69" spans="1:5" x14ac:dyDescent="0.25">
      <c r="A69" s="26"/>
      <c r="B69" s="27"/>
      <c r="C69" s="46"/>
      <c r="D69" s="46"/>
      <c r="E69" s="67"/>
    </row>
    <row r="70" spans="1:5" x14ac:dyDescent="0.25">
      <c r="A70" s="26" t="s">
        <v>19</v>
      </c>
      <c r="B70" s="27"/>
      <c r="C70" s="27"/>
      <c r="D70" s="27"/>
      <c r="E70" s="63">
        <f>SUM(E62:E68)</f>
        <v>200.77982356353616</v>
      </c>
    </row>
    <row r="71" spans="1:5" x14ac:dyDescent="0.25">
      <c r="A71" s="26"/>
      <c r="B71" s="27"/>
      <c r="C71" s="27"/>
      <c r="D71" s="27"/>
      <c r="E71" s="63"/>
    </row>
    <row r="72" spans="1:5" x14ac:dyDescent="0.25">
      <c r="A72" s="26" t="s">
        <v>20</v>
      </c>
      <c r="B72" s="27"/>
      <c r="C72" s="27"/>
      <c r="D72" s="27"/>
      <c r="E72" s="67">
        <f>E70/C51-1</f>
        <v>1.8306756458978732</v>
      </c>
    </row>
    <row r="73" spans="1:5" x14ac:dyDescent="0.25">
      <c r="A73" s="26"/>
      <c r="B73" s="27"/>
      <c r="C73" s="27"/>
      <c r="D73" s="27"/>
      <c r="E73" s="28"/>
    </row>
    <row r="74" spans="1:5" ht="16.5" thickBot="1" x14ac:dyDescent="0.3">
      <c r="A74" s="68" t="s">
        <v>21</v>
      </c>
      <c r="B74" s="69"/>
      <c r="C74" s="69"/>
      <c r="D74" s="69"/>
      <c r="E74" s="90">
        <f>(E70/C51)^(1/10)-1</f>
        <v>0.10965764822548985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2022-07-01T20:58:59Z</dcterms:modified>
</cp:coreProperties>
</file>