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13_ncr:1_{4C897BD2-9330-41AE-AF6A-8AA5514214A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essimistisch" sheetId="34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32" l="1"/>
  <c r="J12" i="34"/>
  <c r="G14" i="32"/>
  <c r="H14" i="32"/>
  <c r="I14" i="32"/>
  <c r="D14" i="32"/>
  <c r="E14" i="32"/>
  <c r="F14" i="32"/>
  <c r="C14" i="32"/>
  <c r="I25" i="32" l="1"/>
  <c r="C14" i="34" l="1"/>
  <c r="D14" i="34"/>
  <c r="E14" i="34"/>
  <c r="F14" i="34"/>
  <c r="G14" i="34"/>
  <c r="H14" i="34"/>
  <c r="I14" i="34"/>
  <c r="I12" i="32" l="1"/>
  <c r="H12" i="34" l="1"/>
  <c r="I12" i="34"/>
  <c r="G12" i="34"/>
  <c r="E12" i="34"/>
  <c r="F12" i="34"/>
  <c r="D12" i="34"/>
  <c r="D50" i="32" l="1"/>
  <c r="D50" i="34"/>
  <c r="D12" i="32" l="1"/>
  <c r="E12" i="32"/>
  <c r="F12" i="32"/>
  <c r="G12" i="32"/>
  <c r="H12" i="32"/>
  <c r="G18" i="34" l="1"/>
  <c r="H18" i="34" s="1"/>
  <c r="I18" i="34" s="1"/>
  <c r="J18" i="34" s="1"/>
  <c r="K18" i="34" s="1"/>
  <c r="L18" i="34" s="1"/>
  <c r="M18" i="34" s="1"/>
  <c r="N18" i="34" s="1"/>
  <c r="O18" i="34" s="1"/>
  <c r="P18" i="34" s="1"/>
  <c r="C16" i="34"/>
  <c r="H16" i="34"/>
  <c r="G16" i="34"/>
  <c r="F16" i="34"/>
  <c r="E16" i="34"/>
  <c r="D16" i="34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C49" i="32"/>
  <c r="G17" i="34" l="1"/>
  <c r="H17" i="34"/>
  <c r="G17" i="32" l="1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H19" i="34" l="1"/>
  <c r="G19" i="34"/>
  <c r="H57" i="34"/>
  <c r="I57" i="34"/>
  <c r="H16" i="32"/>
  <c r="H17" i="32"/>
  <c r="G19" i="32"/>
  <c r="H19" i="32"/>
  <c r="H57" i="32"/>
  <c r="G16" i="32"/>
  <c r="F16" i="32" l="1"/>
  <c r="E16" i="32"/>
  <c r="D16" i="32"/>
  <c r="J57" i="32" l="1"/>
  <c r="I16" i="32"/>
  <c r="I17" i="32"/>
  <c r="I19" i="32"/>
  <c r="J19" i="32" l="1"/>
  <c r="K57" i="32"/>
  <c r="K57" i="34" l="1"/>
  <c r="J17" i="34"/>
  <c r="J19" i="34"/>
  <c r="J57" i="34" l="1"/>
  <c r="I16" i="34"/>
  <c r="I19" i="34"/>
  <c r="I17" i="34"/>
  <c r="J17" i="32" l="1"/>
  <c r="K11" i="32" l="1"/>
  <c r="L11" i="32" s="1"/>
  <c r="L14" i="32" s="1"/>
  <c r="L15" i="32" s="1"/>
  <c r="J14" i="32"/>
  <c r="J16" i="32" s="1"/>
  <c r="M11" i="32" l="1"/>
  <c r="K14" i="32"/>
  <c r="K15" i="32" s="1"/>
  <c r="K19" i="32" s="1"/>
  <c r="M14" i="32"/>
  <c r="M15" i="32" s="1"/>
  <c r="N11" i="32"/>
  <c r="L17" i="32"/>
  <c r="M57" i="32"/>
  <c r="L19" i="32"/>
  <c r="K17" i="32" l="1"/>
  <c r="L57" i="32"/>
  <c r="N14" i="32"/>
  <c r="N15" i="32" s="1"/>
  <c r="O11" i="32"/>
  <c r="M17" i="32"/>
  <c r="N57" i="32"/>
  <c r="M19" i="32"/>
  <c r="O14" i="32" l="1"/>
  <c r="O15" i="32" s="1"/>
  <c r="P11" i="32"/>
  <c r="N19" i="32"/>
  <c r="O57" i="32"/>
  <c r="N17" i="32"/>
  <c r="P14" i="32" l="1"/>
  <c r="P15" i="32" s="1"/>
  <c r="Q11" i="32"/>
  <c r="Q14" i="32" s="1"/>
  <c r="Q15" i="32" s="1"/>
  <c r="P57" i="32"/>
  <c r="O19" i="32"/>
  <c r="O17" i="32"/>
  <c r="Q57" i="32" l="1"/>
  <c r="D57" i="32" s="1"/>
  <c r="Q19" i="32"/>
  <c r="P19" i="32"/>
  <c r="P17" i="32"/>
  <c r="E62" i="32" s="1"/>
  <c r="D43" i="32"/>
  <c r="D40" i="32"/>
  <c r="D41" i="32"/>
  <c r="D44" i="32"/>
  <c r="D42" i="32"/>
  <c r="D49" i="32" l="1"/>
  <c r="D51" i="32" s="1"/>
  <c r="D52" i="32" s="1"/>
  <c r="E66" i="32"/>
  <c r="E68" i="32" s="1"/>
  <c r="D53" i="32" l="1"/>
  <c r="E70" i="32"/>
  <c r="E74" i="32" s="1"/>
  <c r="E72" i="32" l="1"/>
  <c r="J14" i="34"/>
  <c r="J16" i="34" s="1"/>
  <c r="K11" i="34" l="1"/>
  <c r="L11" i="34" l="1"/>
  <c r="K14" i="34"/>
  <c r="K15" i="34" s="1"/>
  <c r="L14" i="34" l="1"/>
  <c r="L15" i="34" s="1"/>
  <c r="M11" i="34"/>
  <c r="L57" i="34"/>
  <c r="K19" i="34"/>
  <c r="K17" i="34"/>
  <c r="M14" i="34" l="1"/>
  <c r="M15" i="34" s="1"/>
  <c r="N11" i="34"/>
  <c r="M57" i="34"/>
  <c r="L19" i="34"/>
  <c r="L17" i="34"/>
  <c r="N14" i="34" l="1"/>
  <c r="N15" i="34" s="1"/>
  <c r="O11" i="34"/>
  <c r="M17" i="34"/>
  <c r="M19" i="34"/>
  <c r="N57" i="34"/>
  <c r="O14" i="34" l="1"/>
  <c r="O15" i="34" s="1"/>
  <c r="P11" i="34"/>
  <c r="N19" i="34"/>
  <c r="O57" i="34"/>
  <c r="N17" i="34"/>
  <c r="Q11" i="34" l="1"/>
  <c r="Q14" i="34" s="1"/>
  <c r="Q15" i="34" s="1"/>
  <c r="P14" i="34"/>
  <c r="P15" i="34" s="1"/>
  <c r="D40" i="34" s="1"/>
  <c r="O19" i="34"/>
  <c r="P57" i="34"/>
  <c r="O17" i="34"/>
  <c r="D42" i="34"/>
  <c r="D44" i="34" l="1"/>
  <c r="P19" i="34"/>
  <c r="P17" i="34"/>
  <c r="E62" i="34" s="1"/>
  <c r="D41" i="34"/>
  <c r="Q19" i="34"/>
  <c r="Q57" i="34"/>
  <c r="D57" i="34" s="1"/>
  <c r="D43" i="34"/>
  <c r="D49" i="34" l="1"/>
  <c r="D51" i="34" s="1"/>
  <c r="D53" i="34" s="1"/>
  <c r="E66" i="34"/>
  <c r="E68" i="34" s="1"/>
  <c r="D52" i="34" l="1"/>
  <c r="E70" i="34"/>
  <c r="E72" i="34" s="1"/>
  <c r="E74" i="34" l="1"/>
</calcChain>
</file>

<file path=xl/sharedStrings.xml><?xml version="1.0" encoding="utf-8"?>
<sst xmlns="http://schemas.openxmlformats.org/spreadsheetml/2006/main" count="99" uniqueCount="49">
  <si>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</si>
  <si>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</si>
  <si>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</si>
  <si>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</si>
  <si>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</si>
  <si>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</si>
  <si>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</si>
  <si>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</si>
  <si>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</si>
  <si>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</si>
  <si>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</si>
  <si>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</si>
  <si>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</si>
  <si>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</si>
  <si>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</si>
  <si>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</si>
  <si>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</si>
  <si>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</si>
  <si>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</si>
  <si>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</si>
  <si>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</si>
  <si>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</si>
  <si>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</si>
  <si>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</si>
  <si>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</si>
  <si>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</si>
  <si>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</si>
  <si>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</si>
  <si>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</si>
  <si>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</si>
  <si>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</si>
  <si>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</si>
  <si>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</si>
  <si>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</si>
  <si>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</si>
  <si>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</si>
  <si>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</si>
  <si>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</si>
  <si>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</si>
  <si>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</si>
  <si>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</si>
  <si>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</si>
  <si>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</si>
  <si>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>KGV Multiple in 2031</t>
  </si>
  <si>
    <t>2032ff.</t>
  </si>
  <si>
    <t xml:space="preserve"> </t>
  </si>
  <si>
    <t>USD</t>
  </si>
  <si>
    <t>Quellensteuer USA (25 %)</t>
  </si>
  <si>
    <t xml:space="preserve"> Annahmen für Air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</si>
</sst>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3" fillId="2" borderId="0" xfId="1" applyNumberFormat="1" applyFont="1" applyFill="1" applyBorder="1"/>
    <xf numFmtId="3" fontId="5" fillId="2" borderId="0" xfId="0" applyNumberFormat="1" applyFont="1" applyFill="1" applyBorder="1"/>
    <xf numFmtId="165" fontId="5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5" fillId="2" borderId="0" xfId="0" applyNumberFormat="1" applyFont="1" applyFill="1" applyBorder="1"/>
    <xf numFmtId="9" fontId="0" fillId="2" borderId="0" xfId="1" applyFont="1" applyFill="1" applyBorder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4" fontId="9" fillId="5" borderId="0" xfId="0" applyNumberFormat="1" applyFont="1" applyFill="1"/>
    <xf numFmtId="9" fontId="0" fillId="2" borderId="0" xfId="0" applyNumberForma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Border="1"/>
    <xf numFmtId="10" fontId="10" fillId="2" borderId="0" xfId="0" applyNumberFormat="1" applyFont="1" applyFill="1" applyBorder="1"/>
    <xf numFmtId="9" fontId="9" fillId="6" borderId="0" xfId="1" applyFont="1" applyFill="1"/>
    <xf numFmtId="0" fontId="0" fillId="10" borderId="9" xfId="0" applyFont="1" applyFill="1" applyBorder="1"/>
    <xf numFmtId="0" fontId="0" fillId="10" borderId="10" xfId="0" applyFont="1" applyFill="1" applyBorder="1"/>
    <xf numFmtId="10" fontId="0" fillId="2" borderId="0" xfId="1" applyNumberFormat="1" applyFont="1" applyFill="1"/>
    <xf numFmtId="10" fontId="0" fillId="10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675907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679082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opLeftCell="A49" zoomScaleNormal="100" workbookViewId="0">
      <selection activeCell="C49" sqref="C49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3" width="16" style="1" bestFit="1" customWidth="1"/>
    <col min="4" max="4" width="16.08203125" style="1" customWidth="1"/>
    <col min="5" max="5" width="14.08203125" style="1" customWidth="1"/>
    <col min="6" max="6" width="13.58203125" style="1" customWidth="1"/>
    <col min="7" max="7" width="14.83203125" style="1" customWidth="1"/>
    <col min="8" max="8" width="12.08203125" style="1" customWidth="1"/>
    <col min="9" max="9" width="12.33203125" style="1" bestFit="1" customWidth="1"/>
    <col min="10" max="16" width="13.33203125" style="1" bestFit="1" customWidth="1"/>
    <col min="17" max="18" width="10.58203125" style="1" customWidth="1"/>
    <col min="19" max="16384" width="10.58203125" style="1"/>
  </cols>
  <sheetData>
    <row r="2" spans="1:28" ht="26" x14ac:dyDescent="0.6">
      <c r="B2" s="32" t="s">
        <v>10</v>
      </c>
    </row>
    <row r="4" spans="1:28" x14ac:dyDescent="0.35">
      <c r="B4" s="22" t="s">
        <v>48</v>
      </c>
      <c r="L4" s="26"/>
      <c r="M4" s="26"/>
      <c r="N4" s="26"/>
      <c r="O4" s="26"/>
      <c r="P4" s="26"/>
      <c r="Q4" s="26"/>
      <c r="R4" s="26"/>
      <c r="S4" s="26"/>
    </row>
    <row r="5" spans="1:28" x14ac:dyDescent="0.35">
      <c r="L5" s="26"/>
      <c r="M5" s="26"/>
      <c r="N5" s="26"/>
      <c r="O5" s="26"/>
      <c r="P5" s="26"/>
      <c r="Q5" s="26"/>
      <c r="R5" s="26"/>
      <c r="S5" s="26"/>
    </row>
    <row r="6" spans="1:28" x14ac:dyDescent="0.35">
      <c r="B6" s="1" t="s">
        <v>36</v>
      </c>
      <c r="L6" s="26"/>
      <c r="M6" s="26"/>
      <c r="N6" s="26"/>
      <c r="O6" s="26"/>
      <c r="P6" s="26"/>
      <c r="Q6" s="26"/>
      <c r="R6" s="26"/>
      <c r="S6" s="26"/>
    </row>
    <row r="9" spans="1:28" s="8" customFormat="1" x14ac:dyDescent="0.3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7">
        <v>2022</v>
      </c>
      <c r="H10" s="57">
        <v>2023</v>
      </c>
      <c r="I10" s="57">
        <v>2024</v>
      </c>
      <c r="J10" s="57">
        <v>2025</v>
      </c>
      <c r="K10" s="57">
        <v>2026</v>
      </c>
      <c r="L10" s="57">
        <v>2027</v>
      </c>
      <c r="M10" s="57">
        <v>2028</v>
      </c>
      <c r="N10" s="57">
        <v>2029</v>
      </c>
      <c r="O10" s="57">
        <v>2030</v>
      </c>
      <c r="P10" s="57">
        <v>2031</v>
      </c>
      <c r="Q10" s="57" t="s">
        <v>44</v>
      </c>
    </row>
    <row r="11" spans="1:28" x14ac:dyDescent="0.35">
      <c r="A11" s="5"/>
      <c r="B11" s="4" t="s">
        <v>4</v>
      </c>
      <c r="C11" s="88">
        <v>8930.2000000000007</v>
      </c>
      <c r="D11" s="88">
        <v>8918.9</v>
      </c>
      <c r="E11" s="88">
        <v>8856.1</v>
      </c>
      <c r="F11" s="88">
        <v>10322.200000000001</v>
      </c>
      <c r="G11" s="77">
        <v>12182.34</v>
      </c>
      <c r="H11" s="77">
        <v>12840.24</v>
      </c>
      <c r="I11" s="77">
        <v>14020.59</v>
      </c>
      <c r="J11" s="77">
        <v>14909.32</v>
      </c>
      <c r="K11" s="77">
        <f>J11*(1+K12)</f>
        <v>15654.786</v>
      </c>
      <c r="L11" s="77">
        <f>K11*(1+L12)</f>
        <v>15576.512070000001</v>
      </c>
      <c r="M11" s="77">
        <f t="shared" ref="M11:Q11" si="0">L11*(1+M12)</f>
        <v>16511.1027942</v>
      </c>
      <c r="N11" s="77">
        <f t="shared" si="0"/>
        <v>16345.991766257999</v>
      </c>
      <c r="O11" s="77">
        <f t="shared" si="0"/>
        <v>16754.641560414449</v>
      </c>
      <c r="P11" s="77">
        <f t="shared" si="0"/>
        <v>17341.054015028953</v>
      </c>
      <c r="Q11" s="77">
        <f t="shared" si="0"/>
        <v>17514.464555179242</v>
      </c>
    </row>
    <row r="12" spans="1:28" x14ac:dyDescent="0.35">
      <c r="A12" s="5"/>
      <c r="B12" s="4" t="s">
        <v>1</v>
      </c>
      <c r="C12" s="93"/>
      <c r="D12" s="96">
        <f>D11/C11-1</f>
        <v>-1.26536919665865E-3</v>
      </c>
      <c r="E12" s="96">
        <f t="shared" ref="E12:F12" si="1">E11/D11-1</f>
        <v>-7.0412270571482694E-3</v>
      </c>
      <c r="F12" s="96">
        <f t="shared" si="1"/>
        <v>0.16554691116857301</v>
      </c>
      <c r="G12" s="92">
        <f>G11/F11-1</f>
        <v>0.1802077076592199</v>
      </c>
      <c r="H12" s="92">
        <f t="shared" ref="H12:J12" si="2">H11/G11-1</f>
        <v>5.4004403094971787E-2</v>
      </c>
      <c r="I12" s="92">
        <f t="shared" si="2"/>
        <v>9.1925851853236429E-2</v>
      </c>
      <c r="J12" s="92">
        <f t="shared" si="2"/>
        <v>6.338748939951877E-2</v>
      </c>
      <c r="K12" s="92">
        <v>0.05</v>
      </c>
      <c r="L12" s="76">
        <v>-5.0000000000000001E-3</v>
      </c>
      <c r="M12" s="76">
        <v>0.06</v>
      </c>
      <c r="N12" s="76">
        <v>-0.01</v>
      </c>
      <c r="O12" s="76">
        <v>2.5000000000000001E-2</v>
      </c>
      <c r="P12" s="76">
        <v>3.5000000000000003E-2</v>
      </c>
      <c r="Q12" s="12">
        <v>0.01</v>
      </c>
    </row>
    <row r="13" spans="1:28" ht="16" customHeight="1" x14ac:dyDescent="0.35">
      <c r="A13" s="5"/>
      <c r="B13" s="4" t="s">
        <v>15</v>
      </c>
      <c r="C13" s="95">
        <v>0.2145</v>
      </c>
      <c r="D13" s="95">
        <v>0.23780000000000001</v>
      </c>
      <c r="E13" s="95">
        <v>0.24129999999999999</v>
      </c>
      <c r="F13" s="95">
        <v>0.21440000000000001</v>
      </c>
      <c r="G13" s="91">
        <v>0.19450000000000001</v>
      </c>
      <c r="H13" s="91">
        <v>0.2109</v>
      </c>
      <c r="I13" s="91">
        <v>0.217</v>
      </c>
      <c r="J13" s="91">
        <v>0.23169999999999999</v>
      </c>
      <c r="K13" s="91">
        <v>0.24</v>
      </c>
      <c r="L13" s="91">
        <v>0.245</v>
      </c>
      <c r="M13" s="91">
        <v>0.25</v>
      </c>
      <c r="N13" s="91">
        <v>0.255</v>
      </c>
      <c r="O13" s="91">
        <v>0.26</v>
      </c>
      <c r="P13" s="91">
        <v>0.26</v>
      </c>
      <c r="Q13" s="91">
        <v>0.26</v>
      </c>
    </row>
    <row r="14" spans="1:28" ht="17.149999999999999" customHeight="1" x14ac:dyDescent="0.35">
      <c r="A14" s="5"/>
      <c r="B14" s="4" t="s">
        <v>16</v>
      </c>
      <c r="C14" s="88">
        <f>C11*C13</f>
        <v>1915.5279</v>
      </c>
      <c r="D14" s="88">
        <f t="shared" ref="D14:F14" si="3">D11*D13</f>
        <v>2120.9144200000001</v>
      </c>
      <c r="E14" s="88">
        <f t="shared" si="3"/>
        <v>2136.9769299999998</v>
      </c>
      <c r="F14" s="88">
        <f t="shared" si="3"/>
        <v>2213.0796800000003</v>
      </c>
      <c r="G14" s="77">
        <f>G11*G13</f>
        <v>2369.46513</v>
      </c>
      <c r="H14" s="77">
        <f t="shared" ref="H14:J14" si="4">H11*H13</f>
        <v>2708.0066160000001</v>
      </c>
      <c r="I14" s="77">
        <f t="shared" si="4"/>
        <v>3042.46803</v>
      </c>
      <c r="J14" s="77">
        <f t="shared" si="4"/>
        <v>3454.4894439999998</v>
      </c>
      <c r="K14" s="77">
        <f t="shared" ref="K14:Q14" si="5">K11*K13</f>
        <v>3757.1486399999999</v>
      </c>
      <c r="L14" s="77">
        <f t="shared" si="5"/>
        <v>3816.2454571500002</v>
      </c>
      <c r="M14" s="77">
        <f t="shared" si="5"/>
        <v>4127.77569855</v>
      </c>
      <c r="N14" s="77">
        <f t="shared" si="5"/>
        <v>4168.2279003957901</v>
      </c>
      <c r="O14" s="77">
        <f t="shared" si="5"/>
        <v>4356.2068057077568</v>
      </c>
      <c r="P14" s="77">
        <f t="shared" si="5"/>
        <v>4508.6740439075274</v>
      </c>
      <c r="Q14" s="77">
        <f t="shared" si="5"/>
        <v>4553.760784346603</v>
      </c>
    </row>
    <row r="15" spans="1:28" x14ac:dyDescent="0.35">
      <c r="A15" s="108">
        <v>0.2</v>
      </c>
      <c r="B15" s="4" t="s">
        <v>42</v>
      </c>
      <c r="C15" s="88">
        <v>1455.6226000000001</v>
      </c>
      <c r="D15" s="88">
        <v>1759.6989699999999</v>
      </c>
      <c r="E15" s="88">
        <v>1901.4046700000001</v>
      </c>
      <c r="F15" s="88">
        <v>2028.3123000000003</v>
      </c>
      <c r="G15" s="77">
        <v>2289.061686</v>
      </c>
      <c r="H15" s="77">
        <v>2578.3201920000001</v>
      </c>
      <c r="I15" s="77">
        <v>2843.3756520000002</v>
      </c>
      <c r="J15" s="77">
        <v>3253.213624</v>
      </c>
      <c r="K15" s="77">
        <f>K14*(1-$A$15)</f>
        <v>3005.7189120000003</v>
      </c>
      <c r="L15" s="77">
        <f>L14*(1-$A$15)</f>
        <v>3052.9963657200005</v>
      </c>
      <c r="M15" s="77">
        <f t="shared" ref="M15:P15" si="6">M14*(1-$A$15)</f>
        <v>3302.2205588400002</v>
      </c>
      <c r="N15" s="77">
        <f>N14*(1-$A$15)</f>
        <v>3334.5823203166324</v>
      </c>
      <c r="O15" s="77">
        <f t="shared" si="6"/>
        <v>3484.9654445662054</v>
      </c>
      <c r="P15" s="77">
        <f t="shared" si="6"/>
        <v>3606.9392351260221</v>
      </c>
      <c r="Q15" s="77">
        <f>Q14*(1-$A$15)</f>
        <v>3643.0086274772825</v>
      </c>
    </row>
    <row r="16" spans="1:28" ht="31.5" hidden="1" thickBot="1" x14ac:dyDescent="0.4">
      <c r="A16" s="13" t="s">
        <v>6</v>
      </c>
      <c r="B16" s="14"/>
      <c r="C16" s="15">
        <f t="shared" ref="C16:J16" si="7">C15/C14</f>
        <v>0.75990675990675993</v>
      </c>
      <c r="D16" s="15">
        <f t="shared" si="7"/>
        <v>0.82968881412952056</v>
      </c>
      <c r="E16" s="15">
        <f t="shared" si="7"/>
        <v>0.88976377952755914</v>
      </c>
      <c r="F16" s="15">
        <f t="shared" si="7"/>
        <v>0.91651119402985071</v>
      </c>
      <c r="G16" s="15">
        <f t="shared" si="7"/>
        <v>0.96606683804627247</v>
      </c>
      <c r="H16" s="15">
        <f t="shared" si="7"/>
        <v>0.95211000474158369</v>
      </c>
      <c r="I16" s="15">
        <f t="shared" si="7"/>
        <v>0.93456221198156686</v>
      </c>
      <c r="J16" s="15">
        <f t="shared" si="7"/>
        <v>0.94173500215796291</v>
      </c>
    </row>
    <row r="17" spans="1:18" x14ac:dyDescent="0.35">
      <c r="A17" s="2" t="s">
        <v>39</v>
      </c>
      <c r="C17" s="88"/>
      <c r="D17" s="88"/>
      <c r="E17" s="88"/>
      <c r="F17" s="88"/>
      <c r="G17" s="77">
        <f>G15/G18</f>
        <v>10.287917689887641</v>
      </c>
      <c r="H17" s="77">
        <f t="shared" ref="H17:P17" si="8">H15/H18</f>
        <v>11.587955919101125</v>
      </c>
      <c r="I17" s="77">
        <f t="shared" si="8"/>
        <v>12.779216413483146</v>
      </c>
      <c r="J17" s="77">
        <f t="shared" si="8"/>
        <v>14.621184826966292</v>
      </c>
      <c r="K17" s="77">
        <f t="shared" si="8"/>
        <v>13.50884904269663</v>
      </c>
      <c r="L17" s="77">
        <f t="shared" si="8"/>
        <v>13.721331980764047</v>
      </c>
      <c r="M17" s="77">
        <f t="shared" si="8"/>
        <v>14.841440713887641</v>
      </c>
      <c r="N17" s="77">
        <f t="shared" si="8"/>
        <v>14.986886832883741</v>
      </c>
      <c r="O17" s="77">
        <f t="shared" si="8"/>
        <v>15.662766042994182</v>
      </c>
      <c r="P17" s="77">
        <f t="shared" si="8"/>
        <v>16.210962854498977</v>
      </c>
      <c r="Q17" s="77"/>
    </row>
    <row r="18" spans="1:18" ht="31.5" thickBot="1" x14ac:dyDescent="0.4">
      <c r="A18" s="2" t="s">
        <v>41</v>
      </c>
      <c r="C18" s="88"/>
      <c r="D18" s="88"/>
      <c r="E18" s="88"/>
      <c r="F18" s="88"/>
      <c r="G18" s="77">
        <f>D50</f>
        <v>222.5</v>
      </c>
      <c r="H18" s="77">
        <f>G18*1</f>
        <v>222.5</v>
      </c>
      <c r="I18" s="77">
        <f>H18*1</f>
        <v>222.5</v>
      </c>
      <c r="J18" s="77">
        <f t="shared" ref="J18:P18" si="9">I18*1</f>
        <v>222.5</v>
      </c>
      <c r="K18" s="77">
        <f t="shared" si="9"/>
        <v>222.5</v>
      </c>
      <c r="L18" s="77">
        <f t="shared" si="9"/>
        <v>222.5</v>
      </c>
      <c r="M18" s="77">
        <f t="shared" si="9"/>
        <v>222.5</v>
      </c>
      <c r="N18" s="77">
        <f t="shared" si="9"/>
        <v>222.5</v>
      </c>
      <c r="O18" s="77">
        <f t="shared" si="9"/>
        <v>222.5</v>
      </c>
      <c r="P18" s="77">
        <f t="shared" si="9"/>
        <v>222.5</v>
      </c>
      <c r="Q18" s="77"/>
    </row>
    <row r="19" spans="1:18" ht="16" thickBot="1" x14ac:dyDescent="0.4">
      <c r="A19" s="2"/>
      <c r="E19" s="53" t="s">
        <v>12</v>
      </c>
      <c r="F19" s="54"/>
      <c r="G19" s="55">
        <f>G15/(1+$C$55)</f>
        <v>2121.4658813716405</v>
      </c>
      <c r="H19" s="55">
        <f>H15/(1+$C$55)^2</f>
        <v>2214.5931916158256</v>
      </c>
      <c r="I19" s="55">
        <f>I15/(1+$C$55)^3</f>
        <v>2263.4447927153083</v>
      </c>
      <c r="J19" s="55">
        <f>J15/(1+$C$55)^4</f>
        <v>2400.0860000697016</v>
      </c>
      <c r="K19" s="55">
        <f>K15/(1+$C$55)^5</f>
        <v>2055.1387144037703</v>
      </c>
      <c r="L19" s="55">
        <f>L15/(1+$C$55)^6</f>
        <v>1934.6286689209885</v>
      </c>
      <c r="M19" s="55">
        <f>M15/(1+$C$55)^7</f>
        <v>1939.3489711337477</v>
      </c>
      <c r="N19" s="55">
        <f>N15/(1+$C$55)^8</f>
        <v>1814.9718174706754</v>
      </c>
      <c r="O19" s="55">
        <f>O15/(1+$C$55)^9</f>
        <v>1757.9457717055911</v>
      </c>
      <c r="P19" s="55">
        <f>P15/(1+$C$55)^10</f>
        <v>1686.2593824979488</v>
      </c>
      <c r="Q19" s="56">
        <f>(Q15/(C55-Q12))/(1+C55)^10</f>
        <v>24682.92719308591</v>
      </c>
    </row>
    <row r="20" spans="1:18" x14ac:dyDescent="0.35">
      <c r="A20" s="2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6"/>
      <c r="P20" s="3"/>
      <c r="Q20" s="3"/>
      <c r="R20" s="3"/>
    </row>
    <row r="21" spans="1:18" x14ac:dyDescent="0.35">
      <c r="A21" s="2"/>
      <c r="J21" s="111"/>
      <c r="K21" s="111"/>
      <c r="L21" s="111"/>
      <c r="M21" s="111"/>
      <c r="N21" s="111"/>
      <c r="O21" s="111"/>
      <c r="P21" s="111"/>
      <c r="Q21" s="111"/>
      <c r="R21" s="3"/>
    </row>
    <row r="22" spans="1:18" ht="16" thickBot="1" x14ac:dyDescent="0.4">
      <c r="P22" s="3"/>
      <c r="Q22" s="3"/>
      <c r="R22" s="3"/>
    </row>
    <row r="23" spans="1:18" x14ac:dyDescent="0.35">
      <c r="A23" s="33" t="s">
        <v>27</v>
      </c>
      <c r="B23" s="34"/>
      <c r="C23" s="34"/>
      <c r="D23" s="35"/>
      <c r="E23" s="23"/>
      <c r="F23" s="34"/>
      <c r="G23" s="97" t="s">
        <v>28</v>
      </c>
      <c r="H23" s="98"/>
      <c r="I23" s="99">
        <v>2.5000000000000001E-2</v>
      </c>
      <c r="J23" s="24" t="s">
        <v>29</v>
      </c>
    </row>
    <row r="24" spans="1:18" x14ac:dyDescent="0.35">
      <c r="A24" s="36"/>
      <c r="B24" s="37"/>
      <c r="C24" s="37"/>
      <c r="D24" s="38"/>
      <c r="E24" s="37"/>
      <c r="F24" s="37"/>
      <c r="G24" s="100"/>
      <c r="H24" s="101"/>
      <c r="I24" s="102"/>
      <c r="J24" s="27"/>
    </row>
    <row r="25" spans="1:18" x14ac:dyDescent="0.35">
      <c r="A25" s="36"/>
      <c r="B25" s="37"/>
      <c r="C25" s="37"/>
      <c r="D25" s="39"/>
      <c r="E25" s="26"/>
      <c r="F25" s="37"/>
      <c r="G25" s="100" t="s">
        <v>30</v>
      </c>
      <c r="H25" s="101"/>
      <c r="I25" s="103">
        <f>(I27-I23)*I29</f>
        <v>5.4000000000000006E-2</v>
      </c>
      <c r="J25" s="27"/>
    </row>
    <row r="26" spans="1:18" x14ac:dyDescent="0.35">
      <c r="A26" s="36"/>
      <c r="B26" s="37"/>
      <c r="C26" s="37"/>
      <c r="D26" s="39"/>
      <c r="E26" s="26"/>
      <c r="F26" s="37"/>
      <c r="G26" s="100"/>
      <c r="H26" s="101"/>
      <c r="I26" s="102"/>
      <c r="J26" s="27"/>
    </row>
    <row r="27" spans="1:18" x14ac:dyDescent="0.35">
      <c r="A27" s="36"/>
      <c r="B27" s="37"/>
      <c r="C27" s="37"/>
      <c r="D27" s="39"/>
      <c r="E27" s="26"/>
      <c r="F27" s="37"/>
      <c r="G27" s="100" t="s">
        <v>31</v>
      </c>
      <c r="H27" s="101"/>
      <c r="I27" s="104">
        <v>7.0000000000000007E-2</v>
      </c>
      <c r="J27" s="27" t="s">
        <v>32</v>
      </c>
    </row>
    <row r="28" spans="1:18" x14ac:dyDescent="0.35">
      <c r="A28" s="36"/>
      <c r="B28" s="37"/>
      <c r="C28" s="37"/>
      <c r="D28" s="40"/>
      <c r="E28" s="26"/>
      <c r="F28" s="37"/>
      <c r="G28" s="100"/>
      <c r="H28" s="101"/>
      <c r="I28" s="102"/>
      <c r="J28" s="27"/>
    </row>
    <row r="29" spans="1:18" x14ac:dyDescent="0.35">
      <c r="A29" s="36"/>
      <c r="B29" s="37"/>
      <c r="C29" s="37"/>
      <c r="D29" s="40"/>
      <c r="E29" s="26"/>
      <c r="F29" s="37"/>
      <c r="G29" s="100" t="s">
        <v>38</v>
      </c>
      <c r="H29" s="101"/>
      <c r="I29" s="102">
        <v>1.2</v>
      </c>
      <c r="J29" s="27" t="s">
        <v>33</v>
      </c>
    </row>
    <row r="30" spans="1:18" x14ac:dyDescent="0.35">
      <c r="A30" s="36"/>
      <c r="B30" s="37"/>
      <c r="C30" s="37"/>
      <c r="D30" s="41"/>
      <c r="E30" s="26"/>
      <c r="F30" s="37"/>
      <c r="G30" s="100"/>
      <c r="H30" s="101"/>
      <c r="I30" s="102"/>
      <c r="J30" s="27"/>
    </row>
    <row r="31" spans="1:18" x14ac:dyDescent="0.35">
      <c r="A31" s="36"/>
      <c r="B31" s="37"/>
      <c r="C31" s="37"/>
      <c r="D31" s="38"/>
      <c r="E31" s="26"/>
      <c r="F31" s="37"/>
      <c r="G31" s="100" t="s">
        <v>34</v>
      </c>
      <c r="H31" s="101"/>
      <c r="I31" s="104">
        <f>I23+(I27-I23)*I29</f>
        <v>7.9000000000000015E-2</v>
      </c>
      <c r="J31" s="27" t="s">
        <v>35</v>
      </c>
    </row>
    <row r="32" spans="1:18" x14ac:dyDescent="0.35">
      <c r="A32" s="25"/>
      <c r="B32" s="26"/>
      <c r="C32" s="42"/>
      <c r="D32" s="26"/>
      <c r="E32" s="37"/>
      <c r="F32" s="37"/>
      <c r="G32" s="100"/>
      <c r="H32" s="101"/>
      <c r="I32" s="101"/>
      <c r="J32" s="27"/>
    </row>
    <row r="33" spans="1:10" x14ac:dyDescent="0.35">
      <c r="A33" s="25"/>
      <c r="B33" s="26"/>
      <c r="C33" s="26"/>
      <c r="D33" s="26"/>
      <c r="E33" s="26"/>
      <c r="F33" s="26"/>
      <c r="G33" s="105" t="s">
        <v>37</v>
      </c>
      <c r="H33" s="106"/>
      <c r="I33" s="107">
        <f>I31</f>
        <v>7.9000000000000015E-2</v>
      </c>
      <c r="J33" s="27"/>
    </row>
    <row r="34" spans="1:10" x14ac:dyDescent="0.35">
      <c r="A34" s="36" t="s">
        <v>7</v>
      </c>
      <c r="B34" s="37"/>
      <c r="C34" s="43"/>
      <c r="D34" s="28"/>
      <c r="E34" s="26"/>
      <c r="F34" s="26"/>
      <c r="G34" s="100"/>
      <c r="H34" s="101"/>
      <c r="I34" s="101"/>
      <c r="J34" s="27"/>
    </row>
    <row r="35" spans="1:10" ht="15.75" hidden="1" customHeight="1" x14ac:dyDescent="0.35">
      <c r="A35" s="25"/>
      <c r="B35" s="26"/>
      <c r="C35" s="26"/>
      <c r="D35" s="26"/>
      <c r="E35" s="26"/>
      <c r="F35" s="26"/>
      <c r="G35" s="25"/>
      <c r="H35" s="26"/>
      <c r="I35" s="26"/>
      <c r="J35" s="27"/>
    </row>
    <row r="36" spans="1:10" ht="15.75" hidden="1" customHeight="1" x14ac:dyDescent="0.35">
      <c r="A36" s="25"/>
      <c r="B36" s="26" t="s">
        <v>8</v>
      </c>
      <c r="C36" s="26"/>
      <c r="D36" s="44">
        <v>0.08</v>
      </c>
      <c r="E36" s="26"/>
      <c r="F36" s="26"/>
      <c r="G36" s="25"/>
      <c r="H36" s="26"/>
      <c r="I36" s="26"/>
      <c r="J36" s="27"/>
    </row>
    <row r="37" spans="1:10" ht="15.75" hidden="1" customHeight="1" x14ac:dyDescent="0.35">
      <c r="A37" s="25"/>
      <c r="B37" s="26"/>
      <c r="C37" s="26"/>
      <c r="D37" s="26"/>
      <c r="E37" s="26"/>
      <c r="F37" s="26"/>
      <c r="G37" s="25"/>
      <c r="H37" s="26"/>
      <c r="I37" s="26"/>
      <c r="J37" s="27"/>
    </row>
    <row r="38" spans="1:10" ht="15.75" hidden="1" customHeight="1" x14ac:dyDescent="0.35">
      <c r="A38" s="25"/>
      <c r="B38" s="26"/>
      <c r="C38" s="26"/>
      <c r="D38" s="26"/>
      <c r="E38" s="26"/>
      <c r="F38" s="26"/>
      <c r="G38" s="25"/>
      <c r="H38" s="26"/>
      <c r="I38" s="26"/>
      <c r="J38" s="27"/>
    </row>
    <row r="39" spans="1:10" ht="15.75" hidden="1" customHeight="1" x14ac:dyDescent="0.35">
      <c r="A39" s="25"/>
      <c r="B39" s="26"/>
      <c r="C39" s="26"/>
      <c r="D39" s="26"/>
      <c r="E39" s="26"/>
      <c r="F39" s="26"/>
      <c r="G39" s="25"/>
      <c r="H39" s="26"/>
      <c r="I39" s="26"/>
      <c r="J39" s="27"/>
    </row>
    <row r="40" spans="1:10" hidden="1" x14ac:dyDescent="0.35">
      <c r="A40" s="25"/>
      <c r="B40" s="45"/>
      <c r="C40" s="45">
        <v>0.12</v>
      </c>
      <c r="D40" s="45" t="e">
        <f>((NPV(C40,$G$15:$Q$15)+(#REF!*(1+#REF!)/(C40-#REF!))/(1+C40)^(2040-2020))/$D$50)/$C$51-1</f>
        <v>#REF!</v>
      </c>
      <c r="E40" s="26"/>
      <c r="F40" s="26"/>
      <c r="G40" s="25"/>
      <c r="H40" s="26"/>
      <c r="I40" s="26"/>
      <c r="J40" s="27"/>
    </row>
    <row r="41" spans="1:10" hidden="1" x14ac:dyDescent="0.35">
      <c r="A41" s="25"/>
      <c r="B41" s="45"/>
      <c r="C41" s="45">
        <v>0.14000000000000001</v>
      </c>
      <c r="D41" s="45" t="e">
        <f>((NPV(C41,$G$15:$Q$15)+(#REF!*(1+#REF!)/(C41-#REF!))/(1+C41)^(2040-2020))/$D$50)/$C$51-1</f>
        <v>#REF!</v>
      </c>
      <c r="E41" s="26"/>
      <c r="F41" s="26"/>
      <c r="G41" s="25"/>
      <c r="H41" s="26"/>
      <c r="I41" s="26"/>
      <c r="J41" s="27"/>
    </row>
    <row r="42" spans="1:10" hidden="1" x14ac:dyDescent="0.35">
      <c r="A42" s="25"/>
      <c r="B42" s="45"/>
      <c r="C42" s="45">
        <v>0.16</v>
      </c>
      <c r="D42" s="45" t="e">
        <f>((NPV(C42,$G$15:$Q$15)+(#REF!*(1+#REF!)/(C42-#REF!))/(1+C42)^(2040-2020))/$D$50)/$C$51-1</f>
        <v>#REF!</v>
      </c>
      <c r="E42" s="26"/>
      <c r="F42" s="26"/>
      <c r="G42" s="25"/>
      <c r="H42" s="26"/>
      <c r="I42" s="26"/>
      <c r="J42" s="27"/>
    </row>
    <row r="43" spans="1:10" hidden="1" x14ac:dyDescent="0.35">
      <c r="A43" s="25"/>
      <c r="B43" s="45"/>
      <c r="C43" s="45">
        <v>0.18</v>
      </c>
      <c r="D43" s="45" t="e">
        <f>((NPV(C43,$G$15:$Q$15)+(#REF!*(1+#REF!)/(C43-#REF!))/(1+C43)^(2040-2020))/$D$50)/$C$51-1</f>
        <v>#REF!</v>
      </c>
      <c r="E43" s="26"/>
      <c r="F43" s="26"/>
      <c r="G43" s="25"/>
      <c r="H43" s="26"/>
      <c r="I43" s="26"/>
      <c r="J43" s="27"/>
    </row>
    <row r="44" spans="1:10" hidden="1" x14ac:dyDescent="0.35">
      <c r="A44" s="25"/>
      <c r="B44" s="45"/>
      <c r="C44" s="45">
        <v>0.2</v>
      </c>
      <c r="D44" s="45" t="e">
        <f>((NPV(C44,$G$15:$Q$15)+(#REF!*(1+#REF!)/(C44-#REF!))/(1+C44)^(2040-2020))/$D$50)/$C$51-1</f>
        <v>#REF!</v>
      </c>
      <c r="E44" s="26"/>
      <c r="F44" s="26"/>
      <c r="G44" s="25"/>
      <c r="H44" s="26"/>
      <c r="I44" s="26"/>
      <c r="J44" s="27"/>
    </row>
    <row r="45" spans="1:10" x14ac:dyDescent="0.35">
      <c r="A45" s="25"/>
      <c r="B45" s="26"/>
      <c r="C45" s="26"/>
      <c r="D45" s="26"/>
      <c r="E45" s="26"/>
      <c r="F45" s="26"/>
      <c r="G45" s="25"/>
      <c r="H45" s="26"/>
      <c r="I45" s="26"/>
      <c r="J45" s="27"/>
    </row>
    <row r="46" spans="1:10" ht="16" thickBot="1" x14ac:dyDescent="0.4">
      <c r="A46" s="29"/>
      <c r="B46" s="30" t="s">
        <v>23</v>
      </c>
      <c r="C46" s="30"/>
      <c r="D46" s="46">
        <f>I33</f>
        <v>7.9000000000000015E-2</v>
      </c>
      <c r="E46" s="30"/>
      <c r="F46" s="30"/>
      <c r="G46" s="29"/>
      <c r="H46" s="30"/>
      <c r="I46" s="30"/>
      <c r="J46" s="31"/>
    </row>
    <row r="48" spans="1:10" x14ac:dyDescent="0.35">
      <c r="A48" s="16"/>
      <c r="B48" s="17"/>
      <c r="C48" s="90">
        <v>44793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7" t="s">
        <v>0</v>
      </c>
      <c r="B49" s="48" t="s">
        <v>5</v>
      </c>
      <c r="C49" s="75">
        <f>C50*C51</f>
        <v>58671.025000000001</v>
      </c>
      <c r="D49" s="49">
        <f>SUM(G19:Q19)</f>
        <v>44870.810384991113</v>
      </c>
      <c r="E49" s="48" t="s">
        <v>46</v>
      </c>
    </row>
    <row r="50" spans="1:17" x14ac:dyDescent="0.35">
      <c r="A50" s="47"/>
      <c r="B50" s="48" t="s">
        <v>11</v>
      </c>
      <c r="C50" s="75">
        <v>222.5</v>
      </c>
      <c r="D50" s="75">
        <f>C50</f>
        <v>222.5</v>
      </c>
      <c r="E50" s="48"/>
    </row>
    <row r="51" spans="1:17" x14ac:dyDescent="0.35">
      <c r="A51" s="47"/>
      <c r="B51" s="48" t="s">
        <v>13</v>
      </c>
      <c r="C51" s="94">
        <v>263.69</v>
      </c>
      <c r="D51" s="58">
        <f>D49/(D50)</f>
        <v>201.66656352804995</v>
      </c>
      <c r="E51" s="48" t="s">
        <v>46</v>
      </c>
    </row>
    <row r="52" spans="1:17" x14ac:dyDescent="0.35">
      <c r="A52" s="47"/>
      <c r="B52" s="48" t="s">
        <v>2</v>
      </c>
      <c r="C52" s="48"/>
      <c r="D52" s="59">
        <f>IF(C51/D51-1&gt;0,0,C51/D51-1)*-1</f>
        <v>0</v>
      </c>
      <c r="E52" s="48"/>
    </row>
    <row r="53" spans="1:17" x14ac:dyDescent="0.35">
      <c r="A53" s="47"/>
      <c r="B53" s="48" t="s">
        <v>14</v>
      </c>
      <c r="C53" s="48"/>
      <c r="D53" s="60">
        <f>IF(C51/D51-1&lt;0,0,C51/D51-1)</f>
        <v>0.30755438773231814</v>
      </c>
      <c r="E53" s="48"/>
    </row>
    <row r="54" spans="1:17" x14ac:dyDescent="0.35">
      <c r="A54" s="48"/>
      <c r="B54" s="48"/>
      <c r="C54" s="48"/>
      <c r="D54" s="50"/>
      <c r="E54" s="50"/>
    </row>
    <row r="55" spans="1:17" x14ac:dyDescent="0.35">
      <c r="A55" s="50" t="s">
        <v>22</v>
      </c>
      <c r="B55" s="48"/>
      <c r="C55" s="52">
        <f>D46</f>
        <v>7.9000000000000015E-2</v>
      </c>
      <c r="D55" s="51"/>
      <c r="E55" s="48"/>
      <c r="J55" s="74"/>
    </row>
    <row r="56" spans="1:17" x14ac:dyDescent="0.35">
      <c r="A56" s="50"/>
      <c r="B56" s="48"/>
      <c r="C56" s="52"/>
      <c r="D56" s="51"/>
      <c r="E56" s="48"/>
    </row>
    <row r="57" spans="1:17" hidden="1" x14ac:dyDescent="0.35">
      <c r="A57" s="50" t="s">
        <v>25</v>
      </c>
      <c r="B57" s="78">
        <v>0.108</v>
      </c>
      <c r="C57" s="52"/>
      <c r="D57" s="79">
        <f>SUM(H57:Q57)*1000</f>
        <v>29658468.231355924</v>
      </c>
      <c r="E57" s="48"/>
      <c r="F57" s="1" t="s">
        <v>26</v>
      </c>
      <c r="H57" s="1">
        <f>G15/(1+$B$57)</f>
        <v>2065.9401498194943</v>
      </c>
      <c r="I57" s="1">
        <f>H15/(1+$B$57)^2</f>
        <v>2100.1839200302356</v>
      </c>
      <c r="J57" s="1">
        <f>I15/(1+$B$57)^3</f>
        <v>2090.3305078876456</v>
      </c>
      <c r="K57" s="1">
        <f>J15/(1+$B$57)^4</f>
        <v>2158.5073947411952</v>
      </c>
      <c r="L57" s="1">
        <f>K15/(1+$B$57)^5</f>
        <v>1799.9049111197992</v>
      </c>
      <c r="M57" s="1">
        <f>L15/(1+$B$57)^6</f>
        <v>1650.0143641254099</v>
      </c>
      <c r="N57" s="1">
        <f>M15/(1+$B$57)^7</f>
        <v>1610.7485688249965</v>
      </c>
      <c r="O57" s="1">
        <f>N15/(1+$B$57)^8</f>
        <v>1467.9908888081959</v>
      </c>
      <c r="P57" s="1">
        <f>O15/(1+$B$57)^9</f>
        <v>1384.6519850901964</v>
      </c>
      <c r="Q57" s="1">
        <f>(Q15/(B57-Q12))/(1+B57)^10</f>
        <v>13330.195540908755</v>
      </c>
    </row>
    <row r="58" spans="1:17" ht="16" thickBot="1" x14ac:dyDescent="0.4">
      <c r="A58" s="22"/>
      <c r="C58" s="69"/>
      <c r="D58" s="70"/>
    </row>
    <row r="59" spans="1:17" x14ac:dyDescent="0.35">
      <c r="A59" s="61" t="s">
        <v>43</v>
      </c>
      <c r="B59" s="23"/>
      <c r="C59" s="71">
        <v>17</v>
      </c>
      <c r="D59" s="23"/>
      <c r="E59" s="24"/>
    </row>
    <row r="60" spans="1:17" x14ac:dyDescent="0.35">
      <c r="A60" s="25" t="s">
        <v>24</v>
      </c>
      <c r="B60" s="26"/>
      <c r="C60" s="72"/>
      <c r="D60" s="26"/>
      <c r="E60" s="27"/>
    </row>
    <row r="61" spans="1:17" x14ac:dyDescent="0.35">
      <c r="A61" s="25"/>
      <c r="B61" s="26"/>
      <c r="C61" s="72"/>
      <c r="D61" s="26"/>
      <c r="E61" s="27"/>
    </row>
    <row r="62" spans="1:17" x14ac:dyDescent="0.35">
      <c r="A62" s="25" t="s">
        <v>40</v>
      </c>
      <c r="B62" s="26"/>
      <c r="C62" s="72"/>
      <c r="D62" s="26"/>
      <c r="E62" s="62">
        <f>P17*C59</f>
        <v>275.5863685264826</v>
      </c>
    </row>
    <row r="63" spans="1:17" x14ac:dyDescent="0.35">
      <c r="A63" s="25"/>
      <c r="B63" s="26"/>
      <c r="C63" s="72"/>
      <c r="D63" s="26"/>
      <c r="E63" s="27"/>
    </row>
    <row r="64" spans="1:17" x14ac:dyDescent="0.35">
      <c r="A64" s="25" t="s">
        <v>17</v>
      </c>
      <c r="B64" s="26"/>
      <c r="C64" s="73">
        <v>0.6</v>
      </c>
      <c r="D64" s="26"/>
      <c r="E64" s="27"/>
    </row>
    <row r="65" spans="1:5" x14ac:dyDescent="0.35">
      <c r="A65" s="25"/>
      <c r="B65" s="26"/>
      <c r="C65" s="26"/>
      <c r="D65" s="26"/>
      <c r="E65" s="27"/>
    </row>
    <row r="66" spans="1:5" x14ac:dyDescent="0.35">
      <c r="A66" s="25" t="s">
        <v>18</v>
      </c>
      <c r="B66" s="26"/>
      <c r="C66" s="26"/>
      <c r="D66" s="26"/>
      <c r="E66" s="62">
        <f>SUM(G17:Q17)*C64</f>
        <v>82.925107390298038</v>
      </c>
    </row>
    <row r="67" spans="1:5" x14ac:dyDescent="0.35">
      <c r="A67" s="25"/>
      <c r="B67" s="26"/>
      <c r="C67" s="26"/>
      <c r="D67" s="26"/>
      <c r="E67" s="63"/>
    </row>
    <row r="68" spans="1:5" x14ac:dyDescent="0.35">
      <c r="A68" s="64" t="s">
        <v>47</v>
      </c>
      <c r="B68" s="26"/>
      <c r="C68" s="26"/>
      <c r="D68" s="26"/>
      <c r="E68" s="65">
        <f>(E66*0.25)*-1</f>
        <v>-20.73127684757451</v>
      </c>
    </row>
    <row r="69" spans="1:5" x14ac:dyDescent="0.35">
      <c r="A69" s="25"/>
      <c r="B69" s="26"/>
      <c r="C69" s="45"/>
      <c r="D69" s="45"/>
      <c r="E69" s="66"/>
    </row>
    <row r="70" spans="1:5" x14ac:dyDescent="0.35">
      <c r="A70" s="25" t="s">
        <v>19</v>
      </c>
      <c r="B70" s="26"/>
      <c r="C70" s="26"/>
      <c r="D70" s="26"/>
      <c r="E70" s="62">
        <f>SUM(E62:E68)</f>
        <v>337.78019906920611</v>
      </c>
    </row>
    <row r="71" spans="1:5" x14ac:dyDescent="0.35">
      <c r="A71" s="25"/>
      <c r="B71" s="26"/>
      <c r="C71" s="26"/>
      <c r="D71" s="26"/>
      <c r="E71" s="62"/>
    </row>
    <row r="72" spans="1:5" x14ac:dyDescent="0.35">
      <c r="A72" s="25" t="s">
        <v>20</v>
      </c>
      <c r="B72" s="26"/>
      <c r="C72" s="26"/>
      <c r="D72" s="26"/>
      <c r="E72" s="66">
        <f>E70/C51-1</f>
        <v>0.28097462576967702</v>
      </c>
    </row>
    <row r="73" spans="1:5" x14ac:dyDescent="0.35">
      <c r="A73" s="25"/>
      <c r="B73" s="26"/>
      <c r="C73" s="26"/>
      <c r="D73" s="26"/>
      <c r="E73" s="27"/>
    </row>
    <row r="74" spans="1:5" ht="16" thickBot="1" x14ac:dyDescent="0.4">
      <c r="A74" s="109" t="s">
        <v>21</v>
      </c>
      <c r="B74" s="110"/>
      <c r="C74" s="110"/>
      <c r="D74" s="110"/>
      <c r="E74" s="112">
        <f>(E70/C51)^(1/10)-1</f>
        <v>2.5071249065110157E-2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K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abSelected="1" topLeftCell="A46" zoomScaleNormal="100" workbookViewId="0">
      <selection activeCell="C49" sqref="C49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3" width="16" style="1" bestFit="1" customWidth="1"/>
    <col min="4" max="4" width="16.08203125" style="1" customWidth="1"/>
    <col min="5" max="5" width="14.08203125" style="1" customWidth="1"/>
    <col min="6" max="6" width="13.58203125" style="1" customWidth="1"/>
    <col min="7" max="7" width="14.83203125" style="1" customWidth="1"/>
    <col min="8" max="8" width="12.08203125" style="1" customWidth="1"/>
    <col min="9" max="9" width="12.33203125" style="1" bestFit="1" customWidth="1"/>
    <col min="10" max="16" width="13.33203125" style="1" bestFit="1" customWidth="1"/>
    <col min="17" max="18" width="10.58203125" style="1" customWidth="1"/>
    <col min="19" max="16384" width="10.58203125" style="1"/>
  </cols>
  <sheetData>
    <row r="2" spans="1:28" ht="26" x14ac:dyDescent="0.6">
      <c r="B2" s="32" t="s">
        <v>10</v>
      </c>
    </row>
    <row r="4" spans="1:28" x14ac:dyDescent="0.35">
      <c r="B4" s="22" t="s">
        <v>48</v>
      </c>
      <c r="L4" s="26"/>
      <c r="M4" s="26"/>
      <c r="N4" s="26"/>
      <c r="O4" s="26"/>
      <c r="P4" s="26"/>
      <c r="Q4" s="26"/>
      <c r="R4" s="26"/>
      <c r="S4" s="26"/>
    </row>
    <row r="5" spans="1:28" x14ac:dyDescent="0.35">
      <c r="L5" s="26"/>
      <c r="M5" s="26"/>
      <c r="N5" s="26"/>
      <c r="O5" s="26"/>
      <c r="P5" s="26"/>
      <c r="Q5" s="26"/>
      <c r="R5" s="26"/>
      <c r="S5" s="26"/>
    </row>
    <row r="6" spans="1:28" x14ac:dyDescent="0.35">
      <c r="B6" s="1" t="s">
        <v>36</v>
      </c>
      <c r="L6" s="26"/>
      <c r="M6" s="26"/>
      <c r="N6" s="26"/>
      <c r="O6" s="26"/>
      <c r="P6" s="26"/>
      <c r="Q6" s="26"/>
      <c r="R6" s="26"/>
      <c r="S6" s="26"/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7">
        <v>2022</v>
      </c>
      <c r="H10" s="57">
        <v>2023</v>
      </c>
      <c r="I10" s="57">
        <v>2024</v>
      </c>
      <c r="J10" s="57">
        <v>2025</v>
      </c>
      <c r="K10" s="57">
        <v>2026</v>
      </c>
      <c r="L10" s="57">
        <v>2027</v>
      </c>
      <c r="M10" s="57">
        <v>2028</v>
      </c>
      <c r="N10" s="57">
        <v>2029</v>
      </c>
      <c r="O10" s="57">
        <v>2030</v>
      </c>
      <c r="P10" s="57">
        <v>2031</v>
      </c>
      <c r="Q10" s="57" t="s">
        <v>44</v>
      </c>
    </row>
    <row r="11" spans="1:28" x14ac:dyDescent="0.35">
      <c r="A11" s="5"/>
      <c r="B11" s="4" t="s">
        <v>4</v>
      </c>
      <c r="C11" s="88">
        <v>8930.2000000000007</v>
      </c>
      <c r="D11" s="88">
        <v>8918.9</v>
      </c>
      <c r="E11" s="88">
        <v>8856.1</v>
      </c>
      <c r="F11" s="88">
        <v>10322.200000000001</v>
      </c>
      <c r="G11" s="77">
        <v>12182.34</v>
      </c>
      <c r="H11" s="77">
        <v>12840.24</v>
      </c>
      <c r="I11" s="77">
        <v>14020.59</v>
      </c>
      <c r="J11" s="77">
        <v>14909.32</v>
      </c>
      <c r="K11" s="77">
        <f t="shared" ref="J11:Q11" si="0">J11*(1+K12)</f>
        <v>16549.3452</v>
      </c>
      <c r="L11" s="77">
        <f t="shared" si="0"/>
        <v>18204.279720000002</v>
      </c>
      <c r="M11" s="77">
        <f t="shared" si="0"/>
        <v>19842.664894800004</v>
      </c>
      <c r="N11" s="77">
        <f t="shared" si="0"/>
        <v>21430.078086384005</v>
      </c>
      <c r="O11" s="77">
        <f t="shared" si="0"/>
        <v>22930.183552430884</v>
      </c>
      <c r="P11" s="77">
        <f t="shared" si="0"/>
        <v>24535.296401101048</v>
      </c>
      <c r="Q11" s="77">
        <f t="shared" si="0"/>
        <v>24903.325847117561</v>
      </c>
    </row>
    <row r="12" spans="1:28" x14ac:dyDescent="0.35">
      <c r="A12" s="5"/>
      <c r="B12" s="4" t="s">
        <v>1</v>
      </c>
      <c r="C12" s="93"/>
      <c r="D12" s="96">
        <f t="shared" ref="D12" si="1">D11/C11-1</f>
        <v>-1.26536919665865E-3</v>
      </c>
      <c r="E12" s="96">
        <f t="shared" ref="E12" si="2">E11/D11-1</f>
        <v>-7.0412270571482694E-3</v>
      </c>
      <c r="F12" s="96">
        <f t="shared" ref="F12" si="3">F11/E11-1</f>
        <v>0.16554691116857301</v>
      </c>
      <c r="G12" s="92">
        <f t="shared" ref="G12" si="4">G11/F11-1</f>
        <v>0.1802077076592199</v>
      </c>
      <c r="H12" s="92">
        <f t="shared" ref="H12:J12" si="5">H11/G11-1</f>
        <v>5.4004403094971787E-2</v>
      </c>
      <c r="I12" s="92">
        <f t="shared" si="5"/>
        <v>9.1925851853236429E-2</v>
      </c>
      <c r="J12" s="92">
        <f t="shared" si="5"/>
        <v>6.338748939951877E-2</v>
      </c>
      <c r="K12" s="92">
        <v>0.11</v>
      </c>
      <c r="L12" s="92">
        <v>0.1</v>
      </c>
      <c r="M12" s="92">
        <v>0.09</v>
      </c>
      <c r="N12" s="92">
        <v>0.08</v>
      </c>
      <c r="O12" s="92">
        <v>7.0000000000000007E-2</v>
      </c>
      <c r="P12" s="92">
        <v>7.0000000000000007E-2</v>
      </c>
      <c r="Q12" s="92">
        <v>1.4999999999999999E-2</v>
      </c>
    </row>
    <row r="13" spans="1:28" ht="16" customHeight="1" x14ac:dyDescent="0.35">
      <c r="A13" s="5"/>
      <c r="B13" s="4" t="s">
        <v>15</v>
      </c>
      <c r="C13" s="95">
        <v>0.2145</v>
      </c>
      <c r="D13" s="95">
        <v>0.23780000000000001</v>
      </c>
      <c r="E13" s="95">
        <v>0.24129999999999999</v>
      </c>
      <c r="F13" s="95">
        <v>0.21440000000000001</v>
      </c>
      <c r="G13" s="91">
        <v>0.19450000000000001</v>
      </c>
      <c r="H13" s="91">
        <v>0.2109</v>
      </c>
      <c r="I13" s="91">
        <v>0.217</v>
      </c>
      <c r="J13" s="91">
        <v>0.23169999999999999</v>
      </c>
      <c r="K13" s="91">
        <v>0.245</v>
      </c>
      <c r="L13" s="91">
        <v>0.26</v>
      </c>
      <c r="M13" s="91">
        <v>0.27</v>
      </c>
      <c r="N13" s="91">
        <v>0.28000000000000003</v>
      </c>
      <c r="O13" s="91">
        <v>0.28999999999999998</v>
      </c>
      <c r="P13" s="91">
        <v>0.3</v>
      </c>
      <c r="Q13" s="91">
        <v>0.3</v>
      </c>
    </row>
    <row r="14" spans="1:28" ht="17.149999999999999" customHeight="1" x14ac:dyDescent="0.35">
      <c r="A14" s="5"/>
      <c r="B14" s="4" t="s">
        <v>16</v>
      </c>
      <c r="C14" s="88">
        <f>C11*C13</f>
        <v>1915.5279</v>
      </c>
      <c r="D14" s="88">
        <f t="shared" ref="D14:J14" si="6">D11*D13</f>
        <v>2120.9144200000001</v>
      </c>
      <c r="E14" s="88">
        <f t="shared" si="6"/>
        <v>2136.9769299999998</v>
      </c>
      <c r="F14" s="88">
        <f t="shared" si="6"/>
        <v>2213.0796800000003</v>
      </c>
      <c r="G14" s="77">
        <f t="shared" si="6"/>
        <v>2369.46513</v>
      </c>
      <c r="H14" s="77">
        <f t="shared" si="6"/>
        <v>2708.0066160000001</v>
      </c>
      <c r="I14" s="77">
        <f t="shared" si="6"/>
        <v>3042.46803</v>
      </c>
      <c r="J14" s="77">
        <f t="shared" si="6"/>
        <v>3454.4894439999998</v>
      </c>
      <c r="K14" s="77">
        <f t="shared" ref="K14:Q14" si="7">K11*K13</f>
        <v>4054.5895740000001</v>
      </c>
      <c r="L14" s="77">
        <f t="shared" si="7"/>
        <v>4733.1127272000003</v>
      </c>
      <c r="M14" s="77">
        <f t="shared" si="7"/>
        <v>5357.5195215960011</v>
      </c>
      <c r="N14" s="77">
        <f t="shared" si="7"/>
        <v>6000.4218641875223</v>
      </c>
      <c r="O14" s="77">
        <f t="shared" si="7"/>
        <v>6649.7532302049558</v>
      </c>
      <c r="P14" s="77">
        <f t="shared" si="7"/>
        <v>7360.5889203303141</v>
      </c>
      <c r="Q14" s="77">
        <f t="shared" si="7"/>
        <v>7470.9977541352682</v>
      </c>
    </row>
    <row r="15" spans="1:28" x14ac:dyDescent="0.35">
      <c r="A15" s="108">
        <v>0.2</v>
      </c>
      <c r="B15" s="4" t="s">
        <v>42</v>
      </c>
      <c r="C15" s="88">
        <v>1455.6226000000001</v>
      </c>
      <c r="D15" s="88">
        <v>1759.6989699999999</v>
      </c>
      <c r="E15" s="88">
        <v>1901.4046700000001</v>
      </c>
      <c r="F15" s="88">
        <v>2028.3123000000003</v>
      </c>
      <c r="G15" s="77">
        <v>2289.061686</v>
      </c>
      <c r="H15" s="77">
        <v>2578.3201920000001</v>
      </c>
      <c r="I15" s="77">
        <v>2843.3756520000002</v>
      </c>
      <c r="J15" s="77">
        <v>3253.213624</v>
      </c>
      <c r="K15" s="77">
        <f t="shared" ref="K15:Q15" si="8">K14*(1-$A$15)</f>
        <v>3243.6716592000002</v>
      </c>
      <c r="L15" s="77">
        <f t="shared" si="8"/>
        <v>3786.4901817600003</v>
      </c>
      <c r="M15" s="77">
        <f t="shared" si="8"/>
        <v>4286.0156172768011</v>
      </c>
      <c r="N15" s="77">
        <f t="shared" si="8"/>
        <v>4800.3374913500184</v>
      </c>
      <c r="O15" s="77">
        <f t="shared" si="8"/>
        <v>5319.8025841639646</v>
      </c>
      <c r="P15" s="77">
        <f t="shared" si="8"/>
        <v>5888.471136264252</v>
      </c>
      <c r="Q15" s="77">
        <f t="shared" si="8"/>
        <v>5976.7982033082153</v>
      </c>
    </row>
    <row r="16" spans="1:28" ht="31.5" hidden="1" thickBot="1" x14ac:dyDescent="0.4">
      <c r="A16" s="13" t="s">
        <v>6</v>
      </c>
      <c r="B16" s="14"/>
      <c r="C16" s="15">
        <f t="shared" ref="C16:J16" si="9">C15/C14</f>
        <v>0.75990675990675993</v>
      </c>
      <c r="D16" s="15">
        <f t="shared" si="9"/>
        <v>0.82968881412952056</v>
      </c>
      <c r="E16" s="15">
        <f t="shared" si="9"/>
        <v>0.88976377952755914</v>
      </c>
      <c r="F16" s="15">
        <f t="shared" si="9"/>
        <v>0.91651119402985071</v>
      </c>
      <c r="G16" s="15">
        <f t="shared" si="9"/>
        <v>0.96606683804627247</v>
      </c>
      <c r="H16" s="15">
        <f t="shared" si="9"/>
        <v>0.95211000474158369</v>
      </c>
      <c r="I16" s="15">
        <f t="shared" si="9"/>
        <v>0.93456221198156686</v>
      </c>
      <c r="J16" s="15">
        <f t="shared" si="9"/>
        <v>0.94173500215796291</v>
      </c>
    </row>
    <row r="17" spans="1:18" x14ac:dyDescent="0.35">
      <c r="A17" s="2" t="s">
        <v>39</v>
      </c>
      <c r="C17" s="88"/>
      <c r="D17" s="88"/>
      <c r="E17" s="88"/>
      <c r="F17" s="88"/>
      <c r="G17" s="77">
        <f>G15/G18</f>
        <v>10.287917689887641</v>
      </c>
      <c r="H17" s="77">
        <f t="shared" ref="H17:P17" si="10">H15/H18</f>
        <v>11.587955919101125</v>
      </c>
      <c r="I17" s="77">
        <f t="shared" si="10"/>
        <v>12.779216413483146</v>
      </c>
      <c r="J17" s="77">
        <f t="shared" si="10"/>
        <v>14.621184826966292</v>
      </c>
      <c r="K17" s="77">
        <f t="shared" si="10"/>
        <v>14.578299591910113</v>
      </c>
      <c r="L17" s="77">
        <f t="shared" si="10"/>
        <v>17.017933401168541</v>
      </c>
      <c r="M17" s="77">
        <f t="shared" si="10"/>
        <v>19.262991538322702</v>
      </c>
      <c r="N17" s="77">
        <f t="shared" si="10"/>
        <v>21.574550522921431</v>
      </c>
      <c r="O17" s="77">
        <f t="shared" si="10"/>
        <v>23.909225097366132</v>
      </c>
      <c r="P17" s="77">
        <f t="shared" si="10"/>
        <v>26.465038814670795</v>
      </c>
      <c r="Q17" s="77"/>
    </row>
    <row r="18" spans="1:18" ht="31.5" thickBot="1" x14ac:dyDescent="0.4">
      <c r="A18" s="2" t="s">
        <v>41</v>
      </c>
      <c r="C18" s="88"/>
      <c r="D18" s="88"/>
      <c r="E18" s="88"/>
      <c r="F18" s="88"/>
      <c r="G18" s="77">
        <f>D50</f>
        <v>222.5</v>
      </c>
      <c r="H18" s="77">
        <f>G18*1</f>
        <v>222.5</v>
      </c>
      <c r="I18" s="77">
        <f t="shared" ref="I18:P18" si="11">H18*1</f>
        <v>222.5</v>
      </c>
      <c r="J18" s="77">
        <f t="shared" si="11"/>
        <v>222.5</v>
      </c>
      <c r="K18" s="77">
        <f t="shared" si="11"/>
        <v>222.5</v>
      </c>
      <c r="L18" s="77">
        <f t="shared" si="11"/>
        <v>222.5</v>
      </c>
      <c r="M18" s="77">
        <f t="shared" si="11"/>
        <v>222.5</v>
      </c>
      <c r="N18" s="77">
        <f t="shared" si="11"/>
        <v>222.5</v>
      </c>
      <c r="O18" s="77">
        <f t="shared" si="11"/>
        <v>222.5</v>
      </c>
      <c r="P18" s="77">
        <f t="shared" si="11"/>
        <v>222.5</v>
      </c>
      <c r="Q18" s="77"/>
    </row>
    <row r="19" spans="1:18" ht="16" thickBot="1" x14ac:dyDescent="0.4">
      <c r="A19" s="2"/>
      <c r="E19" s="53" t="s">
        <v>12</v>
      </c>
      <c r="F19" s="54"/>
      <c r="G19" s="55">
        <f>G15/(1+$C$55)</f>
        <v>2121.4658813716405</v>
      </c>
      <c r="H19" s="55">
        <f>H15/(1+$C$55)^2</f>
        <v>2214.5931916158256</v>
      </c>
      <c r="I19" s="55">
        <f>I15/(1+$C$55)^3</f>
        <v>2263.4447927153083</v>
      </c>
      <c r="J19" s="55">
        <f>J15/(1+$C$55)^4</f>
        <v>2400.0860000697016</v>
      </c>
      <c r="K19" s="55">
        <f>K15/(1+$C$55)^5</f>
        <v>2217.8371959607352</v>
      </c>
      <c r="L19" s="55">
        <f>L15/(1+$C$55)^6</f>
        <v>2399.4304554283835</v>
      </c>
      <c r="M19" s="55">
        <f>M15/(1+$C$55)^7</f>
        <v>2517.1183540050379</v>
      </c>
      <c r="N19" s="55">
        <f>N15/(1+$C$55)^8</f>
        <v>2612.7641858068987</v>
      </c>
      <c r="O19" s="55">
        <f>O15/(1+$C$55)^9</f>
        <v>2683.5056495957911</v>
      </c>
      <c r="P19" s="55">
        <f>P15/(1+$C$55)^10</f>
        <v>2752.8852178589664</v>
      </c>
      <c r="Q19" s="56">
        <f>(Q15/(C55-Q12))/(1+C55)^10</f>
        <v>43659.039001982026</v>
      </c>
    </row>
    <row r="20" spans="1:18" x14ac:dyDescent="0.35">
      <c r="A20" s="2"/>
      <c r="C20" s="80"/>
      <c r="D20" s="89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11"/>
      <c r="K21" s="111"/>
      <c r="L21" s="111"/>
      <c r="M21" s="111"/>
      <c r="N21" s="111"/>
      <c r="O21" s="111"/>
      <c r="P21" s="111"/>
      <c r="Q21" s="111"/>
      <c r="R21" s="3"/>
    </row>
    <row r="22" spans="1:18" ht="16" thickBot="1" x14ac:dyDescent="0.4">
      <c r="P22" s="3"/>
      <c r="Q22" s="3"/>
      <c r="R22" s="3"/>
    </row>
    <row r="23" spans="1:18" x14ac:dyDescent="0.35">
      <c r="A23" s="33" t="s">
        <v>27</v>
      </c>
      <c r="B23" s="34"/>
      <c r="C23" s="34"/>
      <c r="D23" s="35"/>
      <c r="E23" s="23"/>
      <c r="F23" s="34"/>
      <c r="G23" s="61" t="s">
        <v>28</v>
      </c>
      <c r="H23" s="23"/>
      <c r="I23" s="84">
        <v>2.5000000000000001E-2</v>
      </c>
      <c r="J23" s="24" t="s">
        <v>29</v>
      </c>
    </row>
    <row r="24" spans="1:18" x14ac:dyDescent="0.35">
      <c r="A24" s="36"/>
      <c r="B24" s="37"/>
      <c r="C24" s="37"/>
      <c r="D24" s="38"/>
      <c r="E24" s="37"/>
      <c r="F24" s="37"/>
      <c r="G24" s="25"/>
      <c r="H24" s="26"/>
      <c r="I24" s="85"/>
      <c r="J24" s="27"/>
    </row>
    <row r="25" spans="1:18" x14ac:dyDescent="0.35">
      <c r="A25" s="36"/>
      <c r="B25" s="37"/>
      <c r="C25" s="37"/>
      <c r="D25" s="39"/>
      <c r="E25" s="26"/>
      <c r="F25" s="37"/>
      <c r="G25" s="25" t="s">
        <v>30</v>
      </c>
      <c r="H25" s="26"/>
      <c r="I25" s="86">
        <f>(I27-I23)*I29</f>
        <v>5.4000000000000006E-2</v>
      </c>
      <c r="J25" s="27"/>
    </row>
    <row r="26" spans="1:18" x14ac:dyDescent="0.35">
      <c r="A26" s="36"/>
      <c r="B26" s="37"/>
      <c r="C26" s="37"/>
      <c r="D26" s="39"/>
      <c r="E26" s="26"/>
      <c r="F26" s="37"/>
      <c r="G26" s="25"/>
      <c r="H26" s="26"/>
      <c r="I26" s="85"/>
      <c r="J26" s="27"/>
    </row>
    <row r="27" spans="1:18" x14ac:dyDescent="0.35">
      <c r="A27" s="36"/>
      <c r="B27" s="37"/>
      <c r="C27" s="37"/>
      <c r="D27" s="39"/>
      <c r="E27" s="26"/>
      <c r="F27" s="37"/>
      <c r="G27" s="25" t="s">
        <v>31</v>
      </c>
      <c r="H27" s="26"/>
      <c r="I27" s="87">
        <v>7.0000000000000007E-2</v>
      </c>
      <c r="J27" s="27" t="s">
        <v>32</v>
      </c>
    </row>
    <row r="28" spans="1:18" x14ac:dyDescent="0.35">
      <c r="A28" s="36"/>
      <c r="B28" s="37"/>
      <c r="C28" s="37"/>
      <c r="D28" s="40"/>
      <c r="E28" s="26"/>
      <c r="F28" s="37"/>
      <c r="G28" s="25"/>
      <c r="H28" s="26"/>
      <c r="I28" s="85"/>
      <c r="J28" s="27"/>
    </row>
    <row r="29" spans="1:18" x14ac:dyDescent="0.35">
      <c r="A29" s="36"/>
      <c r="B29" s="37"/>
      <c r="C29" s="37"/>
      <c r="D29" s="40"/>
      <c r="E29" s="26"/>
      <c r="F29" s="37"/>
      <c r="G29" s="25" t="s">
        <v>38</v>
      </c>
      <c r="H29" s="26"/>
      <c r="I29" s="85">
        <v>1.2</v>
      </c>
      <c r="J29" s="27" t="s">
        <v>33</v>
      </c>
    </row>
    <row r="30" spans="1:18" x14ac:dyDescent="0.35">
      <c r="A30" s="36"/>
      <c r="B30" s="37"/>
      <c r="C30" s="37"/>
      <c r="D30" s="41"/>
      <c r="E30" s="26"/>
      <c r="F30" s="37"/>
      <c r="G30" s="25"/>
      <c r="H30" s="26"/>
      <c r="I30" s="85"/>
      <c r="J30" s="27"/>
    </row>
    <row r="31" spans="1:18" x14ac:dyDescent="0.35">
      <c r="A31" s="36"/>
      <c r="B31" s="37"/>
      <c r="C31" s="37"/>
      <c r="D31" s="38"/>
      <c r="E31" s="26"/>
      <c r="F31" s="37"/>
      <c r="G31" s="25" t="s">
        <v>34</v>
      </c>
      <c r="H31" s="26"/>
      <c r="I31" s="87">
        <f>I23+(I27-I23)*I29</f>
        <v>7.9000000000000015E-2</v>
      </c>
      <c r="J31" s="27" t="s">
        <v>35</v>
      </c>
    </row>
    <row r="32" spans="1:18" x14ac:dyDescent="0.35">
      <c r="A32" s="25"/>
      <c r="B32" s="26"/>
      <c r="C32" s="42"/>
      <c r="D32" s="26"/>
      <c r="E32" s="37"/>
      <c r="F32" s="37"/>
      <c r="G32" s="25"/>
      <c r="H32" s="26"/>
      <c r="I32" s="26"/>
      <c r="J32" s="27"/>
    </row>
    <row r="33" spans="1:10" x14ac:dyDescent="0.35">
      <c r="A33" s="25"/>
      <c r="B33" s="26"/>
      <c r="C33" s="26"/>
      <c r="D33" s="26"/>
      <c r="E33" s="26"/>
      <c r="F33" s="26"/>
      <c r="G33" s="81" t="s">
        <v>37</v>
      </c>
      <c r="H33" s="82"/>
      <c r="I33" s="83">
        <f>I31</f>
        <v>7.9000000000000015E-2</v>
      </c>
      <c r="J33" s="27"/>
    </row>
    <row r="34" spans="1:10" x14ac:dyDescent="0.35">
      <c r="A34" s="36" t="s">
        <v>7</v>
      </c>
      <c r="B34" s="37"/>
      <c r="C34" s="43"/>
      <c r="D34" s="28"/>
      <c r="E34" s="26"/>
      <c r="F34" s="26"/>
      <c r="G34" s="25"/>
      <c r="H34" s="26"/>
      <c r="I34" s="26"/>
      <c r="J34" s="27"/>
    </row>
    <row r="35" spans="1:10" ht="15.75" hidden="1" customHeight="1" x14ac:dyDescent="0.35">
      <c r="A35" s="25"/>
      <c r="B35" s="26"/>
      <c r="C35" s="26"/>
      <c r="D35" s="26"/>
      <c r="E35" s="26"/>
      <c r="F35" s="26"/>
      <c r="G35" s="25"/>
      <c r="H35" s="26"/>
      <c r="I35" s="26"/>
      <c r="J35" s="27"/>
    </row>
    <row r="36" spans="1:10" ht="15.75" hidden="1" customHeight="1" x14ac:dyDescent="0.35">
      <c r="A36" s="25"/>
      <c r="B36" s="26" t="s">
        <v>8</v>
      </c>
      <c r="C36" s="26"/>
      <c r="D36" s="44">
        <v>0.08</v>
      </c>
      <c r="E36" s="26"/>
      <c r="F36" s="26"/>
      <c r="G36" s="25"/>
      <c r="H36" s="26"/>
      <c r="I36" s="26"/>
      <c r="J36" s="27"/>
    </row>
    <row r="37" spans="1:10" ht="15.75" hidden="1" customHeight="1" x14ac:dyDescent="0.35">
      <c r="A37" s="25"/>
      <c r="B37" s="26"/>
      <c r="C37" s="26"/>
      <c r="D37" s="26"/>
      <c r="E37" s="26"/>
      <c r="F37" s="26"/>
      <c r="G37" s="25"/>
      <c r="H37" s="26"/>
      <c r="I37" s="26"/>
      <c r="J37" s="27"/>
    </row>
    <row r="38" spans="1:10" ht="15.75" hidden="1" customHeight="1" x14ac:dyDescent="0.35">
      <c r="A38" s="25"/>
      <c r="B38" s="26"/>
      <c r="C38" s="26"/>
      <c r="D38" s="26"/>
      <c r="E38" s="26"/>
      <c r="F38" s="26"/>
      <c r="G38" s="25"/>
      <c r="H38" s="26"/>
      <c r="I38" s="26"/>
      <c r="J38" s="27"/>
    </row>
    <row r="39" spans="1:10" ht="15.75" hidden="1" customHeight="1" x14ac:dyDescent="0.35">
      <c r="A39" s="25"/>
      <c r="B39" s="26"/>
      <c r="C39" s="26"/>
      <c r="D39" s="26"/>
      <c r="E39" s="26"/>
      <c r="F39" s="26"/>
      <c r="G39" s="25"/>
      <c r="H39" s="26"/>
      <c r="I39" s="26"/>
      <c r="J39" s="27"/>
    </row>
    <row r="40" spans="1:10" hidden="1" x14ac:dyDescent="0.35">
      <c r="A40" s="25"/>
      <c r="B40" s="45"/>
      <c r="C40" s="45">
        <v>0.12</v>
      </c>
      <c r="D40" s="45" t="e">
        <f>((NPV(C40,$G$15:$Q$15)+(#REF!*(1+#REF!)/(C40-#REF!))/(1+C40)^(2040-2020))/$D$50)/$C$51-1</f>
        <v>#REF!</v>
      </c>
      <c r="E40" s="26"/>
      <c r="F40" s="26"/>
      <c r="G40" s="25"/>
      <c r="H40" s="26"/>
      <c r="I40" s="26"/>
      <c r="J40" s="27"/>
    </row>
    <row r="41" spans="1:10" hidden="1" x14ac:dyDescent="0.35">
      <c r="A41" s="25"/>
      <c r="B41" s="45"/>
      <c r="C41" s="45">
        <v>0.14000000000000001</v>
      </c>
      <c r="D41" s="45" t="e">
        <f>((NPV(C41,$G$15:$Q$15)+(#REF!*(1+#REF!)/(C41-#REF!))/(1+C41)^(2040-2020))/$D$50)/$C$51-1</f>
        <v>#REF!</v>
      </c>
      <c r="E41" s="26"/>
      <c r="F41" s="26"/>
      <c r="G41" s="25"/>
      <c r="H41" s="26"/>
      <c r="I41" s="26"/>
      <c r="J41" s="27"/>
    </row>
    <row r="42" spans="1:10" hidden="1" x14ac:dyDescent="0.35">
      <c r="A42" s="25"/>
      <c r="B42" s="45"/>
      <c r="C42" s="45">
        <v>0.16</v>
      </c>
      <c r="D42" s="45" t="e">
        <f>((NPV(C42,$G$15:$Q$15)+(#REF!*(1+#REF!)/(C42-#REF!))/(1+C42)^(2040-2020))/$D$50)/$C$51-1</f>
        <v>#REF!</v>
      </c>
      <c r="E42" s="26"/>
      <c r="F42" s="26"/>
      <c r="G42" s="25"/>
      <c r="H42" s="26"/>
      <c r="I42" s="26"/>
      <c r="J42" s="27"/>
    </row>
    <row r="43" spans="1:10" hidden="1" x14ac:dyDescent="0.35">
      <c r="A43" s="25"/>
      <c r="B43" s="45"/>
      <c r="C43" s="45">
        <v>0.18</v>
      </c>
      <c r="D43" s="45" t="e">
        <f>((NPV(C43,$G$15:$Q$15)+(#REF!*(1+#REF!)/(C43-#REF!))/(1+C43)^(2040-2020))/$D$50)/$C$51-1</f>
        <v>#REF!</v>
      </c>
      <c r="E43" s="26"/>
      <c r="F43" s="26"/>
      <c r="G43" s="25"/>
      <c r="H43" s="26"/>
      <c r="I43" s="26"/>
      <c r="J43" s="27"/>
    </row>
    <row r="44" spans="1:10" hidden="1" x14ac:dyDescent="0.35">
      <c r="A44" s="25"/>
      <c r="B44" s="45"/>
      <c r="C44" s="45">
        <v>0.2</v>
      </c>
      <c r="D44" s="45" t="e">
        <f>((NPV(C44,$G$15:$Q$15)+(#REF!*(1+#REF!)/(C44-#REF!))/(1+C44)^(2040-2020))/$D$50)/$C$51-1</f>
        <v>#REF!</v>
      </c>
      <c r="E44" s="26"/>
      <c r="F44" s="26"/>
      <c r="G44" s="25"/>
      <c r="H44" s="26"/>
      <c r="I44" s="26"/>
      <c r="J44" s="27"/>
    </row>
    <row r="45" spans="1:10" x14ac:dyDescent="0.35">
      <c r="A45" s="25"/>
      <c r="B45" s="26"/>
      <c r="C45" s="26"/>
      <c r="D45" s="26"/>
      <c r="E45" s="26"/>
      <c r="F45" s="26"/>
      <c r="G45" s="25"/>
      <c r="H45" s="26"/>
      <c r="I45" s="26"/>
      <c r="J45" s="27"/>
    </row>
    <row r="46" spans="1:10" ht="16" thickBot="1" x14ac:dyDescent="0.4">
      <c r="A46" s="29"/>
      <c r="B46" s="30" t="s">
        <v>23</v>
      </c>
      <c r="C46" s="30"/>
      <c r="D46" s="46">
        <f>I33</f>
        <v>7.9000000000000015E-2</v>
      </c>
      <c r="E46" s="30"/>
      <c r="F46" s="30"/>
      <c r="G46" s="29"/>
      <c r="H46" s="30"/>
      <c r="I46" s="30"/>
      <c r="J46" s="31"/>
    </row>
    <row r="48" spans="1:10" x14ac:dyDescent="0.35">
      <c r="A48" s="16"/>
      <c r="B48" s="17"/>
      <c r="C48" s="90">
        <v>44793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7" t="s">
        <v>0</v>
      </c>
      <c r="B49" s="48" t="s">
        <v>5</v>
      </c>
      <c r="C49" s="75">
        <f>C50*C51</f>
        <v>58671.025000000001</v>
      </c>
      <c r="D49" s="49">
        <f>SUM(G19:Q19)</f>
        <v>67842.169926410308</v>
      </c>
      <c r="E49" s="48" t="s">
        <v>46</v>
      </c>
    </row>
    <row r="50" spans="1:17" x14ac:dyDescent="0.35">
      <c r="A50" s="47"/>
      <c r="B50" s="48" t="s">
        <v>11</v>
      </c>
      <c r="C50" s="75">
        <v>222.5</v>
      </c>
      <c r="D50" s="75">
        <f>C50</f>
        <v>222.5</v>
      </c>
      <c r="E50" s="48"/>
    </row>
    <row r="51" spans="1:17" x14ac:dyDescent="0.35">
      <c r="A51" s="47"/>
      <c r="B51" s="48" t="s">
        <v>13</v>
      </c>
      <c r="C51" s="94">
        <v>263.69</v>
      </c>
      <c r="D51" s="58">
        <f>D49/(D50)</f>
        <v>304.90862888274296</v>
      </c>
      <c r="E51" s="48" t="s">
        <v>46</v>
      </c>
    </row>
    <row r="52" spans="1:17" x14ac:dyDescent="0.35">
      <c r="A52" s="47"/>
      <c r="B52" s="48" t="s">
        <v>2</v>
      </c>
      <c r="C52" s="48"/>
      <c r="D52" s="59">
        <f>IF(C51/D51-1&gt;0,0,C51/D51-1)*-1</f>
        <v>0.13518354345620764</v>
      </c>
      <c r="E52" s="48"/>
    </row>
    <row r="53" spans="1:17" x14ac:dyDescent="0.35">
      <c r="A53" s="47"/>
      <c r="B53" s="48" t="s">
        <v>14</v>
      </c>
      <c r="C53" s="48"/>
      <c r="D53" s="60">
        <f>IF(C51/D51-1&lt;0,0,C51/D51-1)</f>
        <v>0</v>
      </c>
      <c r="E53" s="48"/>
    </row>
    <row r="54" spans="1:17" x14ac:dyDescent="0.35">
      <c r="A54" s="48"/>
      <c r="B54" s="48"/>
      <c r="C54" s="48"/>
      <c r="D54" s="50"/>
      <c r="E54" s="50"/>
    </row>
    <row r="55" spans="1:17" x14ac:dyDescent="0.35">
      <c r="A55" s="50" t="s">
        <v>22</v>
      </c>
      <c r="B55" s="48"/>
      <c r="C55" s="52">
        <f>D46</f>
        <v>7.9000000000000015E-2</v>
      </c>
      <c r="D55" s="51"/>
      <c r="E55" s="48"/>
      <c r="J55" s="74"/>
    </row>
    <row r="56" spans="1:17" x14ac:dyDescent="0.35">
      <c r="A56" s="50"/>
      <c r="B56" s="48"/>
      <c r="C56" s="52"/>
      <c r="D56" s="51"/>
      <c r="E56" s="48"/>
    </row>
    <row r="57" spans="1:17" hidden="1" x14ac:dyDescent="0.35">
      <c r="A57" s="50" t="s">
        <v>25</v>
      </c>
      <c r="B57" s="78">
        <v>0.108</v>
      </c>
      <c r="C57" s="52"/>
      <c r="D57" s="79">
        <f>SUM(H57:Q57)*1000</f>
        <v>41766954.581749655</v>
      </c>
      <c r="E57" s="48"/>
      <c r="F57" s="1" t="s">
        <v>26</v>
      </c>
      <c r="H57" s="1">
        <f>G15/(1+$B$57)</f>
        <v>2065.9401498194943</v>
      </c>
      <c r="I57" s="1">
        <f>H15/(1+$B$57)^2</f>
        <v>2100.1839200302356</v>
      </c>
      <c r="J57" s="1">
        <f>I15/(1+$B$57)^3</f>
        <v>2090.3305078876456</v>
      </c>
      <c r="K57" s="1">
        <f>J15/(1+$B$57)^4</f>
        <v>2158.5073947411952</v>
      </c>
      <c r="L57" s="1">
        <f>K15/(1+$B$57)^5</f>
        <v>1942.3973832501165</v>
      </c>
      <c r="M57" s="1">
        <f>L15/(1+$B$57)^6</f>
        <v>2046.4364974933076</v>
      </c>
      <c r="N57" s="1">
        <f>M15/(1+$B$57)^7</f>
        <v>2090.6215676627344</v>
      </c>
      <c r="O57" s="1">
        <f>N15/(1+$B$57)^8</f>
        <v>2113.2636785038467</v>
      </c>
      <c r="P57" s="1">
        <f>O15/(1+$B$57)^9</f>
        <v>2113.6723808655984</v>
      </c>
      <c r="Q57" s="1">
        <f>(Q15/(B57-Q12))/(1+B57)^10</f>
        <v>23045.601101495478</v>
      </c>
    </row>
    <row r="58" spans="1:17" ht="16" thickBot="1" x14ac:dyDescent="0.4">
      <c r="A58" s="22"/>
      <c r="C58" s="69"/>
      <c r="D58" s="70"/>
    </row>
    <row r="59" spans="1:17" x14ac:dyDescent="0.35">
      <c r="A59" s="61" t="s">
        <v>43</v>
      </c>
      <c r="B59" s="23"/>
      <c r="C59" s="71">
        <v>27</v>
      </c>
      <c r="D59" s="23"/>
      <c r="E59" s="24"/>
    </row>
    <row r="60" spans="1:17" x14ac:dyDescent="0.35">
      <c r="A60" s="25" t="s">
        <v>24</v>
      </c>
      <c r="B60" s="26"/>
      <c r="C60" s="72" t="s">
        <v>45</v>
      </c>
      <c r="D60" s="26"/>
      <c r="E60" s="27"/>
    </row>
    <row r="61" spans="1:17" x14ac:dyDescent="0.35">
      <c r="A61" s="25"/>
      <c r="B61" s="26"/>
      <c r="C61" s="72"/>
      <c r="D61" s="26"/>
      <c r="E61" s="27"/>
    </row>
    <row r="62" spans="1:17" x14ac:dyDescent="0.35">
      <c r="A62" s="25" t="s">
        <v>40</v>
      </c>
      <c r="B62" s="26"/>
      <c r="C62" s="72"/>
      <c r="D62" s="26"/>
      <c r="E62" s="62">
        <f>P17*C59</f>
        <v>714.55604799611149</v>
      </c>
    </row>
    <row r="63" spans="1:17" x14ac:dyDescent="0.35">
      <c r="A63" s="25"/>
      <c r="B63" s="26"/>
      <c r="C63" s="72"/>
      <c r="D63" s="26"/>
      <c r="E63" s="27"/>
    </row>
    <row r="64" spans="1:17" x14ac:dyDescent="0.35">
      <c r="A64" s="25" t="s">
        <v>17</v>
      </c>
      <c r="B64" s="26"/>
      <c r="C64" s="73">
        <v>0.6</v>
      </c>
      <c r="D64" s="26"/>
      <c r="E64" s="27"/>
    </row>
    <row r="65" spans="1:5" x14ac:dyDescent="0.35">
      <c r="A65" s="25"/>
      <c r="B65" s="26"/>
      <c r="C65" s="26"/>
      <c r="D65" s="26"/>
      <c r="E65" s="27"/>
    </row>
    <row r="66" spans="1:5" x14ac:dyDescent="0.35">
      <c r="A66" s="25" t="s">
        <v>18</v>
      </c>
      <c r="B66" s="26"/>
      <c r="C66" s="26"/>
      <c r="D66" s="26"/>
      <c r="E66" s="62">
        <f>SUM(G17:Q17)*C64</f>
        <v>103.25058828947874</v>
      </c>
    </row>
    <row r="67" spans="1:5" x14ac:dyDescent="0.35">
      <c r="A67" s="25"/>
      <c r="B67" s="26"/>
      <c r="C67" s="26"/>
      <c r="D67" s="26"/>
      <c r="E67" s="63"/>
    </row>
    <row r="68" spans="1:5" x14ac:dyDescent="0.35">
      <c r="A68" s="64" t="s">
        <v>47</v>
      </c>
      <c r="B68" s="26"/>
      <c r="C68" s="26"/>
      <c r="D68" s="26"/>
      <c r="E68" s="65">
        <f>(E66*0.25)*-1</f>
        <v>-25.812647072369685</v>
      </c>
    </row>
    <row r="69" spans="1:5" x14ac:dyDescent="0.35">
      <c r="A69" s="25"/>
      <c r="B69" s="26"/>
      <c r="C69" s="45"/>
      <c r="D69" s="45"/>
      <c r="E69" s="66"/>
    </row>
    <row r="70" spans="1:5" x14ac:dyDescent="0.35">
      <c r="A70" s="25" t="s">
        <v>19</v>
      </c>
      <c r="B70" s="26"/>
      <c r="C70" s="26"/>
      <c r="D70" s="26"/>
      <c r="E70" s="62">
        <f>SUM(E62:E68)</f>
        <v>791.99398921322052</v>
      </c>
    </row>
    <row r="71" spans="1:5" x14ac:dyDescent="0.35">
      <c r="A71" s="25"/>
      <c r="B71" s="26"/>
      <c r="C71" s="26"/>
      <c r="D71" s="26"/>
      <c r="E71" s="62"/>
    </row>
    <row r="72" spans="1:5" x14ac:dyDescent="0.35">
      <c r="A72" s="25" t="s">
        <v>20</v>
      </c>
      <c r="B72" s="26"/>
      <c r="C72" s="26"/>
      <c r="D72" s="26"/>
      <c r="E72" s="66">
        <f>E70/C51-1</f>
        <v>2.0035040737730689</v>
      </c>
    </row>
    <row r="73" spans="1:5" x14ac:dyDescent="0.35">
      <c r="A73" s="25"/>
      <c r="B73" s="26"/>
      <c r="C73" s="26"/>
      <c r="D73" s="26"/>
      <c r="E73" s="27"/>
    </row>
    <row r="74" spans="1:5" ht="16" thickBot="1" x14ac:dyDescent="0.4">
      <c r="A74" s="67" t="s">
        <v>21</v>
      </c>
      <c r="B74" s="68"/>
      <c r="C74" s="68"/>
      <c r="D74" s="68"/>
      <c r="E74" s="112">
        <f>(E70/C51)^(1/10)-1</f>
        <v>0.11625347149416254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2022-08-20T06:12:02Z</dcterms:modified>
</cp:coreProperties>
</file>