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564F09E8-2284-4DBD-8341-91F9FBD72DE8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34" l="1"/>
  <c r="K18" i="34" s="1"/>
  <c r="L18" i="34" s="1"/>
  <c r="M18" i="34" s="1"/>
  <c r="N18" i="34" s="1"/>
  <c r="O18" i="34" s="1"/>
  <c r="P18" i="34" s="1"/>
  <c r="I18" i="32"/>
  <c r="J18" i="32"/>
  <c r="K18" i="32" s="1"/>
  <c r="L18" i="32" s="1"/>
  <c r="M18" i="32" s="1"/>
  <c r="N18" i="32" s="1"/>
  <c r="O18" i="32" s="1"/>
  <c r="P18" i="32" s="1"/>
  <c r="I25" i="32" l="1"/>
  <c r="C14" i="34" l="1"/>
  <c r="D14" i="34"/>
  <c r="E14" i="34"/>
  <c r="F14" i="34"/>
  <c r="G14" i="34"/>
  <c r="H14" i="34"/>
  <c r="I14" i="34"/>
  <c r="J14" i="34"/>
  <c r="J12" i="32"/>
  <c r="J12" i="34"/>
  <c r="I12" i="32" l="1"/>
  <c r="K11" i="34" l="1"/>
  <c r="H12" i="34"/>
  <c r="I12" i="34"/>
  <c r="G12" i="34"/>
  <c r="E12" i="34"/>
  <c r="F12" i="34"/>
  <c r="D12" i="34"/>
  <c r="D14" i="32" l="1"/>
  <c r="E14" i="32"/>
  <c r="F14" i="32"/>
  <c r="G14" i="32"/>
  <c r="H14" i="32"/>
  <c r="C14" i="32"/>
  <c r="D50" i="32"/>
  <c r="D50" i="34"/>
  <c r="D12" i="32" l="1"/>
  <c r="E12" i="32"/>
  <c r="F12" i="32"/>
  <c r="G12" i="32"/>
  <c r="H12" i="32"/>
  <c r="G18" i="34" l="1"/>
  <c r="H18" i="34" s="1"/>
  <c r="I18" i="34" s="1"/>
  <c r="C16" i="34"/>
  <c r="H16" i="34"/>
  <c r="G16" i="34"/>
  <c r="F16" i="34"/>
  <c r="E16" i="34"/>
  <c r="D16" i="34"/>
  <c r="G18" i="32"/>
  <c r="H18" i="32" s="1"/>
  <c r="C49" i="32"/>
  <c r="G17" i="34" l="1"/>
  <c r="H17" i="34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H19" i="34" l="1"/>
  <c r="G19" i="34"/>
  <c r="H57" i="34"/>
  <c r="I57" i="34"/>
  <c r="H16" i="32"/>
  <c r="H17" i="32"/>
  <c r="G19" i="32"/>
  <c r="H19" i="32"/>
  <c r="H57" i="32"/>
  <c r="G16" i="32"/>
  <c r="F16" i="32" l="1"/>
  <c r="E16" i="32"/>
  <c r="D16" i="32"/>
  <c r="K11" i="32" l="1"/>
  <c r="I14" i="32"/>
  <c r="J14" i="32" l="1"/>
  <c r="J17" i="32" s="1"/>
  <c r="J57" i="32"/>
  <c r="I16" i="32"/>
  <c r="I17" i="32"/>
  <c r="I19" i="32"/>
  <c r="K14" i="32"/>
  <c r="K15" i="32" s="1"/>
  <c r="L11" i="32"/>
  <c r="J16" i="32" l="1"/>
  <c r="J19" i="32"/>
  <c r="K57" i="32"/>
  <c r="L14" i="32"/>
  <c r="L15" i="32" s="1"/>
  <c r="M11" i="32"/>
  <c r="L57" i="32"/>
  <c r="K17" i="32"/>
  <c r="K19" i="32"/>
  <c r="N11" i="32" l="1"/>
  <c r="M14" i="32"/>
  <c r="M15" i="32" s="1"/>
  <c r="L17" i="32"/>
  <c r="M57" i="32"/>
  <c r="L19" i="32"/>
  <c r="M19" i="32" l="1"/>
  <c r="N57" i="32"/>
  <c r="M17" i="32"/>
  <c r="N14" i="32"/>
  <c r="N15" i="32" s="1"/>
  <c r="O11" i="32"/>
  <c r="P11" i="32" l="1"/>
  <c r="O14" i="32"/>
  <c r="O15" i="32" s="1"/>
  <c r="N17" i="32"/>
  <c r="N19" i="32"/>
  <c r="O57" i="32"/>
  <c r="P57" i="32" l="1"/>
  <c r="O19" i="32"/>
  <c r="O17" i="32"/>
  <c r="P14" i="32"/>
  <c r="P15" i="32" s="1"/>
  <c r="Q11" i="32"/>
  <c r="Q14" i="32" s="1"/>
  <c r="Q15" i="32" s="1"/>
  <c r="D41" i="32" s="1"/>
  <c r="P17" i="32" l="1"/>
  <c r="E62" i="32" s="1"/>
  <c r="P19" i="32"/>
  <c r="D43" i="32"/>
  <c r="D44" i="32"/>
  <c r="D42" i="32"/>
  <c r="Q19" i="32"/>
  <c r="Q57" i="32"/>
  <c r="D57" i="32" s="1"/>
  <c r="D40" i="32"/>
  <c r="D49" i="32" l="1"/>
  <c r="D51" i="32" s="1"/>
  <c r="D53" i="32" s="1"/>
  <c r="E66" i="32"/>
  <c r="E68" i="32" s="1"/>
  <c r="D52" i="32" l="1"/>
  <c r="E70" i="32"/>
  <c r="E74" i="32" l="1"/>
  <c r="E72" i="32"/>
  <c r="K14" i="34" l="1"/>
  <c r="K15" i="34" s="1"/>
  <c r="K57" i="34" l="1"/>
  <c r="J17" i="34"/>
  <c r="J19" i="34"/>
  <c r="J16" i="34"/>
  <c r="L11" i="34"/>
  <c r="L57" i="34" l="1"/>
  <c r="K19" i="34"/>
  <c r="K17" i="34"/>
  <c r="L14" i="34"/>
  <c r="L15" i="34" s="1"/>
  <c r="M11" i="34"/>
  <c r="M14" i="34" l="1"/>
  <c r="M15" i="34" s="1"/>
  <c r="N11" i="34"/>
  <c r="M57" i="34"/>
  <c r="L19" i="34"/>
  <c r="L17" i="34"/>
  <c r="M17" i="34" l="1"/>
  <c r="N57" i="34"/>
  <c r="M19" i="34"/>
  <c r="N14" i="34"/>
  <c r="N15" i="34" s="1"/>
  <c r="O11" i="34"/>
  <c r="O14" i="34" l="1"/>
  <c r="O15" i="34" s="1"/>
  <c r="P11" i="34"/>
  <c r="O57" i="34"/>
  <c r="N19" i="34"/>
  <c r="N17" i="34"/>
  <c r="Q11" i="34" l="1"/>
  <c r="Q14" i="34" s="1"/>
  <c r="Q15" i="34" s="1"/>
  <c r="P14" i="34"/>
  <c r="P15" i="34" s="1"/>
  <c r="O17" i="34"/>
  <c r="P57" i="34"/>
  <c r="O19" i="34"/>
  <c r="P19" i="34" l="1"/>
  <c r="P17" i="34"/>
  <c r="Q57" i="34"/>
  <c r="Q19" i="34"/>
  <c r="E62" i="34" l="1"/>
  <c r="J57" i="34" l="1"/>
  <c r="D57" i="34" s="1"/>
  <c r="I16" i="34"/>
  <c r="D44" i="34"/>
  <c r="D41" i="34"/>
  <c r="D43" i="34"/>
  <c r="D40" i="34"/>
  <c r="I19" i="34"/>
  <c r="D49" i="34" s="1"/>
  <c r="D51" i="34" s="1"/>
  <c r="D53" i="34" s="1"/>
  <c r="D42" i="34"/>
  <c r="I17" i="34"/>
  <c r="E66" i="34" s="1"/>
  <c r="E68" i="34" s="1"/>
  <c r="D52" i="34" l="1"/>
  <c r="E70" i="34"/>
  <c r="E74" i="34" l="1"/>
  <c r="E72" i="34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<sst xmlns="http://schemas.openxmlformats.org/spreadsheetml/2006/main" count="99" uniqueCount="49">
  <si>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</si>
  <si>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</si>
  <si>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</si>
  <si>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</si>
  <si>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</si>
  <si>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</si>
  <si>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</si>
  <si>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</si>
  <si>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</si>
  <si>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</si>
  <si>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</si>
  <si>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</si>
  <si>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</si>
  <si>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</si>
  <si>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</si>
  <si>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</si>
  <si>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</si>
  <si>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</si>
  <si>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</si>
  <si>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</si>
  <si>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</si>
  <si>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</si>
  <si>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</si>
  <si>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</si>
  <si>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</si>
  <si>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</si>
  <si>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</si>
  <si>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</si>
  <si>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</si>
  <si>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</si>
  <si>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</si>
  <si>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</si>
  <si>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</si>
  <si>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</si>
  <si>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</si>
  <si>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</si>
  <si>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</si>
  <si>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</si>
  <si>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</si>
  <si>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</si>
  <si>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</si>
  <si>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</si>
  <si>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</si>
  <si>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</si>
  <si>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2032ff.</t>
  </si>
  <si>
    <t xml:space="preserve"> </t>
  </si>
  <si>
    <t xml:space="preserve"> Annahmen für Moncler</t>
  </si>
  <si>
    <t>Quellensteuer Italien (37,5 %)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</si>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</sst>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25">
      <c r="A11" s="5"/>
      <c r="B11" s="4" t="s">
        <v>4</v>
      </c>
      <c r="C11" s="88">
        <v>1420.07</v>
      </c>
      <c r="D11" s="88">
        <v>1627.7</v>
      </c>
      <c r="E11" s="88">
        <v>1440.41</v>
      </c>
      <c r="F11" s="88">
        <v>2046.1</v>
      </c>
      <c r="G11" s="77">
        <v>2816.22</v>
      </c>
      <c r="H11" s="77">
        <v>3160.79</v>
      </c>
      <c r="I11" s="77">
        <v>3504.01</v>
      </c>
      <c r="J11" s="77">
        <v>3754.17</v>
      </c>
      <c r="K11" s="77">
        <f>J11*(1+K12)</f>
        <v>4016.9619000000002</v>
      </c>
      <c r="L11" s="77">
        <f>K11*(1+L12)</f>
        <v>4257.9796140000008</v>
      </c>
      <c r="M11" s="77">
        <f t="shared" ref="M11:Q11" si="0">L11*(1+M12)</f>
        <v>4470.8785947000006</v>
      </c>
      <c r="N11" s="77">
        <f t="shared" si="0"/>
        <v>4694.4225244350009</v>
      </c>
      <c r="O11" s="77">
        <f t="shared" si="0"/>
        <v>4882.1994254124011</v>
      </c>
      <c r="P11" s="77">
        <f t="shared" si="0"/>
        <v>5004.2544110477111</v>
      </c>
      <c r="Q11" s="77">
        <f t="shared" si="0"/>
        <v>5079.3182272134263</v>
      </c>
    </row>
    <row r="12" spans="1:28" x14ac:dyDescent="0.25">
      <c r="A12" s="5"/>
      <c r="B12" s="4" t="s">
        <v>1</v>
      </c>
      <c r="C12" s="93"/>
      <c r="D12" s="96">
        <f>D11/C11-1</f>
        <v>0.14621110226960643</v>
      </c>
      <c r="E12" s="96">
        <f t="shared" ref="E12:F12" si="1">E11/D11-1</f>
        <v>-0.11506420101984394</v>
      </c>
      <c r="F12" s="96">
        <f t="shared" si="1"/>
        <v>0.4204983303365013</v>
      </c>
      <c r="G12" s="92">
        <f>G11/F11-1</f>
        <v>0.37638434094130302</v>
      </c>
      <c r="H12" s="92">
        <f t="shared" ref="H12:J12" si="2">H11/G11-1</f>
        <v>0.12235194693596396</v>
      </c>
      <c r="I12" s="92">
        <f t="shared" si="2"/>
        <v>0.10858677735629385</v>
      </c>
      <c r="J12" s="92">
        <f t="shared" si="2"/>
        <v>7.1392490318235247E-2</v>
      </c>
      <c r="K12" s="92">
        <v>7.0000000000000007E-2</v>
      </c>
      <c r="L12" s="76">
        <v>0.06</v>
      </c>
      <c r="M12" s="76">
        <v>0.05</v>
      </c>
      <c r="N12" s="76">
        <v>0.05</v>
      </c>
      <c r="O12" s="76">
        <v>0.04</v>
      </c>
      <c r="P12" s="76">
        <v>2.5000000000000001E-2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5">
        <v>0.29160000000000003</v>
      </c>
      <c r="D13" s="95">
        <v>0.30209999999999998</v>
      </c>
      <c r="E13" s="95">
        <v>0.25609999999999999</v>
      </c>
      <c r="F13" s="95">
        <v>0.28310000000000002</v>
      </c>
      <c r="G13" s="91">
        <v>0.2671</v>
      </c>
      <c r="H13" s="91">
        <v>0.27110000000000001</v>
      </c>
      <c r="I13" s="91">
        <v>0.2742</v>
      </c>
      <c r="J13" s="91">
        <v>0.27429999999999999</v>
      </c>
      <c r="K13" s="91">
        <v>0.27</v>
      </c>
      <c r="L13" s="91">
        <v>0.27</v>
      </c>
      <c r="M13" s="91">
        <v>0.26500000000000001</v>
      </c>
      <c r="N13" s="91">
        <v>0.26500000000000001</v>
      </c>
      <c r="O13" s="91">
        <v>0.26500000000000001</v>
      </c>
      <c r="P13" s="91">
        <v>0.26</v>
      </c>
      <c r="Q13" s="91">
        <v>0.26</v>
      </c>
    </row>
    <row r="14" spans="1:28" ht="17.100000000000001" customHeight="1" x14ac:dyDescent="0.25">
      <c r="A14" s="5"/>
      <c r="B14" s="4" t="s">
        <v>16</v>
      </c>
      <c r="C14" s="88">
        <f>C11*C13</f>
        <v>414.09241200000002</v>
      </c>
      <c r="D14" s="88">
        <f t="shared" ref="D14:F14" si="3">D11*D13</f>
        <v>491.72816999999998</v>
      </c>
      <c r="E14" s="88">
        <f t="shared" si="3"/>
        <v>368.88900100000001</v>
      </c>
      <c r="F14" s="88">
        <f t="shared" si="3"/>
        <v>579.25090999999998</v>
      </c>
      <c r="G14" s="77">
        <f>G11*G13</f>
        <v>752.21236199999998</v>
      </c>
      <c r="H14" s="77">
        <f t="shared" ref="H14:J14" si="4">H11*H13</f>
        <v>856.89016900000001</v>
      </c>
      <c r="I14" s="77">
        <f t="shared" si="4"/>
        <v>960.79954200000009</v>
      </c>
      <c r="J14" s="77">
        <f t="shared" si="4"/>
        <v>1029.7688309999999</v>
      </c>
      <c r="K14" s="77">
        <f t="shared" ref="K14:Q14" si="5">K11*K13</f>
        <v>1084.5797130000001</v>
      </c>
      <c r="L14" s="77">
        <f t="shared" si="5"/>
        <v>1149.6544957800004</v>
      </c>
      <c r="M14" s="77">
        <f t="shared" si="5"/>
        <v>1184.7828275955003</v>
      </c>
      <c r="N14" s="77">
        <f t="shared" si="5"/>
        <v>1244.0219689752753</v>
      </c>
      <c r="O14" s="77">
        <f t="shared" si="5"/>
        <v>1293.7828477342864</v>
      </c>
      <c r="P14" s="77">
        <f t="shared" si="5"/>
        <v>1301.1061468724049</v>
      </c>
      <c r="Q14" s="77">
        <f t="shared" si="5"/>
        <v>1320.6227390754909</v>
      </c>
    </row>
    <row r="15" spans="1:28" x14ac:dyDescent="0.25">
      <c r="A15" s="108">
        <v>0.25</v>
      </c>
      <c r="B15" s="4" t="s">
        <v>42</v>
      </c>
      <c r="C15" s="88">
        <v>332.43838699999998</v>
      </c>
      <c r="D15" s="88">
        <v>358.74508000000003</v>
      </c>
      <c r="E15" s="88">
        <v>300.32548500000001</v>
      </c>
      <c r="F15" s="88">
        <v>393.46502999999996</v>
      </c>
      <c r="G15" s="77">
        <v>554.23209599999996</v>
      </c>
      <c r="H15" s="77">
        <v>587.90693999999996</v>
      </c>
      <c r="I15" s="77">
        <v>660.50588500000003</v>
      </c>
      <c r="J15" s="77">
        <v>772.23276899999996</v>
      </c>
      <c r="K15" s="77">
        <f>K14*(1-$A$15)</f>
        <v>813.43478475000006</v>
      </c>
      <c r="L15" s="77">
        <f>L14*(1-$A$15)</f>
        <v>862.24087183500023</v>
      </c>
      <c r="M15" s="77">
        <f t="shared" ref="M15:P15" si="6">M14*(1-$A$15)</f>
        <v>888.58712069662522</v>
      </c>
      <c r="N15" s="77">
        <f t="shared" si="6"/>
        <v>933.01647673145646</v>
      </c>
      <c r="O15" s="77">
        <f t="shared" si="6"/>
        <v>970.3371358007148</v>
      </c>
      <c r="P15" s="77">
        <f t="shared" si="6"/>
        <v>975.82961015430374</v>
      </c>
      <c r="Q15" s="77">
        <f>Q14*(1-$A$15)</f>
        <v>990.46705430661814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0.80281207133058974</v>
      </c>
      <c r="D16" s="15">
        <f t="shared" si="7"/>
        <v>0.72955974842767302</v>
      </c>
      <c r="E16" s="15">
        <f t="shared" si="7"/>
        <v>0.81413510347520501</v>
      </c>
      <c r="F16" s="15">
        <f t="shared" si="7"/>
        <v>0.67926527728717767</v>
      </c>
      <c r="G16" s="15">
        <f t="shared" si="7"/>
        <v>0.73680269561961809</v>
      </c>
      <c r="H16" s="15">
        <f t="shared" si="7"/>
        <v>0.68609369236444107</v>
      </c>
      <c r="I16" s="15">
        <f t="shared" si="7"/>
        <v>0.68745441283734499</v>
      </c>
      <c r="J16" s="15">
        <f t="shared" si="7"/>
        <v>0.74990885891359826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2.0867172289156621</v>
      </c>
      <c r="H17" s="77">
        <f t="shared" ref="H17:P17" si="8">H15/H18</f>
        <v>2.2135050451807228</v>
      </c>
      <c r="I17" s="77">
        <f t="shared" si="8"/>
        <v>2.4868444465361446</v>
      </c>
      <c r="J17" s="77">
        <f t="shared" si="8"/>
        <v>2.9075028953313251</v>
      </c>
      <c r="K17" s="77">
        <f t="shared" si="8"/>
        <v>3.0626309666792166</v>
      </c>
      <c r="L17" s="77">
        <f t="shared" si="8"/>
        <v>3.2463888246799706</v>
      </c>
      <c r="M17" s="77">
        <f t="shared" si="8"/>
        <v>3.3455840387674138</v>
      </c>
      <c r="N17" s="77">
        <f t="shared" si="8"/>
        <v>3.5128632407057845</v>
      </c>
      <c r="O17" s="77">
        <f t="shared" si="8"/>
        <v>3.6533777703340164</v>
      </c>
      <c r="P17" s="77">
        <f t="shared" si="8"/>
        <v>3.6740572671472278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265.60000000000002</v>
      </c>
      <c r="H18" s="77">
        <f>G18*1</f>
        <v>265.60000000000002</v>
      </c>
      <c r="I18" s="77">
        <f>H18*1</f>
        <v>265.60000000000002</v>
      </c>
      <c r="J18" s="77">
        <f t="shared" ref="J18:P18" si="9">I18*1</f>
        <v>265.60000000000002</v>
      </c>
      <c r="K18" s="77">
        <f t="shared" si="9"/>
        <v>265.60000000000002</v>
      </c>
      <c r="L18" s="77">
        <f t="shared" si="9"/>
        <v>265.60000000000002</v>
      </c>
      <c r="M18" s="77">
        <f t="shared" si="9"/>
        <v>265.60000000000002</v>
      </c>
      <c r="N18" s="77">
        <f t="shared" si="9"/>
        <v>265.60000000000002</v>
      </c>
      <c r="O18" s="77">
        <f t="shared" si="9"/>
        <v>265.60000000000002</v>
      </c>
      <c r="P18" s="77">
        <f t="shared" si="9"/>
        <v>265.60000000000002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507.30626636155603</v>
      </c>
      <c r="H19" s="55">
        <f>H15/(1+$C$55)^2</f>
        <v>492.56743450507668</v>
      </c>
      <c r="I19" s="55">
        <f>I15/(1+$C$55)^3</f>
        <v>506.53837702797028</v>
      </c>
      <c r="J19" s="55">
        <f>J15/(1+$C$55)^4</f>
        <v>542.07882631845359</v>
      </c>
      <c r="K19" s="55">
        <f>K15/(1+$C$55)^5</f>
        <v>522.65548433735103</v>
      </c>
      <c r="L19" s="55">
        <f>L15/(1+$C$55)^6</f>
        <v>507.10738068429481</v>
      </c>
      <c r="M19" s="55">
        <f>M15/(1+$C$55)^7</f>
        <v>478.35453402968062</v>
      </c>
      <c r="N19" s="55">
        <f>N15/(1+$C$55)^8</f>
        <v>459.74577641296526</v>
      </c>
      <c r="O19" s="55">
        <f>O15/(1+$C$55)^9</f>
        <v>437.65272994918433</v>
      </c>
      <c r="P19" s="55">
        <f>P15/(1+$C$55)^10</f>
        <v>402.86499730221533</v>
      </c>
      <c r="Q19" s="56">
        <f>(Q15/(C55-Q12))/(1+C55)^10</f>
        <v>5276.2319001515934</v>
      </c>
    </row>
    <row r="20" spans="1:18" x14ac:dyDescent="0.2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2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97" t="s">
        <v>28</v>
      </c>
      <c r="H23" s="98"/>
      <c r="I23" s="99">
        <v>2.5000000000000001E-2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100"/>
      <c r="H24" s="101"/>
      <c r="I24" s="102"/>
      <c r="J24" s="27"/>
    </row>
    <row r="25" spans="1:18" x14ac:dyDescent="0.25">
      <c r="A25" s="36"/>
      <c r="B25" s="37"/>
      <c r="C25" s="37"/>
      <c r="D25" s="39"/>
      <c r="E25" s="26"/>
      <c r="F25" s="37"/>
      <c r="G25" s="100" t="s">
        <v>30</v>
      </c>
      <c r="H25" s="101"/>
      <c r="I25" s="103">
        <f>(I27-I23)*I29</f>
        <v>6.7500000000000004E-2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100"/>
      <c r="H26" s="101"/>
      <c r="I26" s="102"/>
      <c r="J26" s="27"/>
    </row>
    <row r="27" spans="1:18" x14ac:dyDescent="0.25">
      <c r="A27" s="36"/>
      <c r="B27" s="37"/>
      <c r="C27" s="37"/>
      <c r="D27" s="39"/>
      <c r="E27" s="26"/>
      <c r="F27" s="37"/>
      <c r="G27" s="100" t="s">
        <v>31</v>
      </c>
      <c r="H27" s="101"/>
      <c r="I27" s="104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100"/>
      <c r="H28" s="101"/>
      <c r="I28" s="102"/>
      <c r="J28" s="27"/>
    </row>
    <row r="29" spans="1:18" x14ac:dyDescent="0.25">
      <c r="A29" s="36"/>
      <c r="B29" s="37"/>
      <c r="C29" s="37"/>
      <c r="D29" s="40"/>
      <c r="E29" s="26"/>
      <c r="F29" s="37"/>
      <c r="G29" s="100" t="s">
        <v>38</v>
      </c>
      <c r="H29" s="101"/>
      <c r="I29" s="102">
        <v>1.5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100"/>
      <c r="H30" s="101"/>
      <c r="I30" s="102"/>
      <c r="J30" s="27"/>
    </row>
    <row r="31" spans="1:18" x14ac:dyDescent="0.25">
      <c r="A31" s="36"/>
      <c r="B31" s="37"/>
      <c r="C31" s="37"/>
      <c r="D31" s="38"/>
      <c r="E31" s="26"/>
      <c r="F31" s="37"/>
      <c r="G31" s="100" t="s">
        <v>34</v>
      </c>
      <c r="H31" s="101"/>
      <c r="I31" s="104">
        <f>I23+(I27-I23)*I29</f>
        <v>9.2499999999999999E-2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100"/>
      <c r="H32" s="101"/>
      <c r="I32" s="101"/>
      <c r="J32" s="27"/>
    </row>
    <row r="33" spans="1:10" x14ac:dyDescent="0.25">
      <c r="A33" s="25"/>
      <c r="B33" s="26"/>
      <c r="C33" s="26"/>
      <c r="D33" s="26"/>
      <c r="E33" s="26"/>
      <c r="F33" s="26"/>
      <c r="G33" s="105" t="s">
        <v>37</v>
      </c>
      <c r="H33" s="106"/>
      <c r="I33" s="107">
        <f>I31</f>
        <v>9.2499999999999999E-2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100"/>
      <c r="H34" s="101"/>
      <c r="I34" s="101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9.2499999999999999E-2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0">
        <v>44779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13094.08</v>
      </c>
      <c r="D49" s="49">
        <f>SUM(G19:Q19)</f>
        <v>10133.103707080341</v>
      </c>
      <c r="E49" s="48" t="s">
        <v>48</v>
      </c>
    </row>
    <row r="50" spans="1:17" x14ac:dyDescent="0.25">
      <c r="A50" s="47"/>
      <c r="B50" s="48" t="s">
        <v>11</v>
      </c>
      <c r="C50" s="75">
        <v>265.60000000000002</v>
      </c>
      <c r="D50" s="75">
        <f>C50</f>
        <v>265.60000000000002</v>
      </c>
      <c r="E50" s="48"/>
    </row>
    <row r="51" spans="1:17" x14ac:dyDescent="0.25">
      <c r="A51" s="47"/>
      <c r="B51" s="48" t="s">
        <v>13</v>
      </c>
      <c r="C51" s="94">
        <v>49.3</v>
      </c>
      <c r="D51" s="58">
        <f>D49/(D50)</f>
        <v>38.151745885091643</v>
      </c>
      <c r="E51" s="48" t="s">
        <v>48</v>
      </c>
    </row>
    <row r="52" spans="1:17" x14ac:dyDescent="0.25">
      <c r="A52" s="47"/>
      <c r="B52" s="48" t="s">
        <v>2</v>
      </c>
      <c r="C52" s="48"/>
      <c r="D52" s="59">
        <f>IF(C51/D51-1&gt;0,0,C51/D51-1)*-1</f>
        <v>0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0.29220822943425762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9.2499999999999999E-2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7978954.7146932799</v>
      </c>
      <c r="E57" s="48"/>
      <c r="F57" s="1" t="s">
        <v>26</v>
      </c>
      <c r="H57" s="1">
        <f>G15/(1+$B$57)</f>
        <v>500.20947292418765</v>
      </c>
      <c r="I57" s="1">
        <f>H15/(1+$B$57)^2</f>
        <v>478.88260957395494</v>
      </c>
      <c r="J57" s="1">
        <f>I15/(1+$B$57)^3</f>
        <v>485.57622032237504</v>
      </c>
      <c r="K57" s="1">
        <f>J15/(1+$B$57)^4</f>
        <v>512.37647907623818</v>
      </c>
      <c r="L57" s="1">
        <f>K15/(1+$B$57)^5</f>
        <v>487.10651488464987</v>
      </c>
      <c r="M57" s="1">
        <f>L15/(1+$B$57)^6</f>
        <v>466.0044275972283</v>
      </c>
      <c r="N57" s="1">
        <f>M15/(1+$B$57)^7</f>
        <v>433.43271820740995</v>
      </c>
      <c r="O57" s="1">
        <f>N15/(1+$B$57)^8</f>
        <v>410.74400191135402</v>
      </c>
      <c r="P57" s="1">
        <f>O15/(1+$B$57)^9</f>
        <v>385.53588627058497</v>
      </c>
      <c r="Q57" s="1">
        <f>(Q15/(B57-Q12))/(1+B57)^10</f>
        <v>3819.0863839252966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15</v>
      </c>
      <c r="D59" s="23"/>
      <c r="E59" s="24"/>
    </row>
    <row r="60" spans="1:17" x14ac:dyDescent="0.25">
      <c r="A60" s="25" t="s">
        <v>24</v>
      </c>
      <c r="B60" s="26"/>
      <c r="C60" s="72"/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55.110859007208418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0.3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9.0568415172832442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47</v>
      </c>
      <c r="B68" s="26"/>
      <c r="C68" s="26"/>
      <c r="D68" s="26"/>
      <c r="E68" s="65">
        <f>(E66*0.375)*-1</f>
        <v>-3.3963155689812163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60.771384955510449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0.23268529321522213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109" t="s">
        <v>21</v>
      </c>
      <c r="B74" s="110"/>
      <c r="C74" s="110"/>
      <c r="D74" s="110"/>
      <c r="E74" s="112">
        <f>(E70/C51)^(1/10)-1</f>
        <v>2.1139841971709261E-2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4" zoomScaleNormal="10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25">
      <c r="A11" s="5"/>
      <c r="B11" s="4" t="s">
        <v>4</v>
      </c>
      <c r="C11" s="88">
        <v>1420.07</v>
      </c>
      <c r="D11" s="88">
        <v>1627.7</v>
      </c>
      <c r="E11" s="88">
        <v>1440.41</v>
      </c>
      <c r="F11" s="88">
        <v>2046.1</v>
      </c>
      <c r="G11" s="77">
        <v>2816.22</v>
      </c>
      <c r="H11" s="77">
        <v>3160.79</v>
      </c>
      <c r="I11" s="77">
        <v>3504.01</v>
      </c>
      <c r="J11" s="77">
        <v>3754.17</v>
      </c>
      <c r="K11" s="77">
        <f t="shared" ref="K11:Q11" si="0">J11*(1+K12)</f>
        <v>4204.6704000000009</v>
      </c>
      <c r="L11" s="77">
        <f t="shared" si="0"/>
        <v>4625.1374400000013</v>
      </c>
      <c r="M11" s="77">
        <f t="shared" si="0"/>
        <v>5041.3998096000014</v>
      </c>
      <c r="N11" s="77">
        <f t="shared" si="0"/>
        <v>5419.504795320001</v>
      </c>
      <c r="O11" s="77">
        <f t="shared" si="0"/>
        <v>5717.5775590626008</v>
      </c>
      <c r="P11" s="77">
        <f t="shared" si="0"/>
        <v>5946.2806614251049</v>
      </c>
      <c r="Q11" s="77">
        <f t="shared" si="0"/>
        <v>6065.2062746536067</v>
      </c>
    </row>
    <row r="12" spans="1:28" x14ac:dyDescent="0.25">
      <c r="A12" s="5"/>
      <c r="B12" s="4" t="s">
        <v>1</v>
      </c>
      <c r="C12" s="93"/>
      <c r="D12" s="96">
        <f t="shared" ref="D12" si="1">D11/C11-1</f>
        <v>0.14621110226960643</v>
      </c>
      <c r="E12" s="96">
        <f t="shared" ref="E12" si="2">E11/D11-1</f>
        <v>-0.11506420101984394</v>
      </c>
      <c r="F12" s="96">
        <f t="shared" ref="F12" si="3">F11/E11-1</f>
        <v>0.4204983303365013</v>
      </c>
      <c r="G12" s="92">
        <f t="shared" ref="G12" si="4">G11/F11-1</f>
        <v>0.37638434094130302</v>
      </c>
      <c r="H12" s="92">
        <f t="shared" ref="H12:J12" si="5">H11/G11-1</f>
        <v>0.12235194693596396</v>
      </c>
      <c r="I12" s="92">
        <f t="shared" si="5"/>
        <v>0.10858677735629385</v>
      </c>
      <c r="J12" s="92">
        <f t="shared" si="5"/>
        <v>7.1392490318235247E-2</v>
      </c>
      <c r="K12" s="92">
        <v>0.12</v>
      </c>
      <c r="L12" s="92">
        <v>0.1</v>
      </c>
      <c r="M12" s="92">
        <v>0.09</v>
      </c>
      <c r="N12" s="92">
        <v>7.4999999999999997E-2</v>
      </c>
      <c r="O12" s="92">
        <v>5.5E-2</v>
      </c>
      <c r="P12" s="92">
        <v>0.04</v>
      </c>
      <c r="Q12" s="92">
        <v>0.02</v>
      </c>
    </row>
    <row r="13" spans="1:28" ht="15.95" customHeight="1" x14ac:dyDescent="0.25">
      <c r="A13" s="5"/>
      <c r="B13" s="4" t="s">
        <v>15</v>
      </c>
      <c r="C13" s="95">
        <v>0.29160000000000003</v>
      </c>
      <c r="D13" s="95">
        <v>0.30209999999999998</v>
      </c>
      <c r="E13" s="95">
        <v>0.25609999999999999</v>
      </c>
      <c r="F13" s="95">
        <v>0.28310000000000002</v>
      </c>
      <c r="G13" s="91">
        <v>0.2671</v>
      </c>
      <c r="H13" s="91">
        <v>0.27110000000000001</v>
      </c>
      <c r="I13" s="91">
        <v>0.2742</v>
      </c>
      <c r="J13" s="91">
        <v>0.27429999999999999</v>
      </c>
      <c r="K13" s="91">
        <v>0.28000000000000003</v>
      </c>
      <c r="L13" s="91">
        <v>0.28999999999999998</v>
      </c>
      <c r="M13" s="91">
        <v>0.28999999999999998</v>
      </c>
      <c r="N13" s="91">
        <v>0.29499999999999998</v>
      </c>
      <c r="O13" s="91">
        <v>0.29499999999999998</v>
      </c>
      <c r="P13" s="91">
        <v>0.3</v>
      </c>
      <c r="Q13" s="91">
        <v>0.3</v>
      </c>
    </row>
    <row r="14" spans="1:28" ht="17.100000000000001" customHeight="1" x14ac:dyDescent="0.25">
      <c r="A14" s="5"/>
      <c r="B14" s="4" t="s">
        <v>16</v>
      </c>
      <c r="C14" s="88">
        <f>C11*C13</f>
        <v>414.09241200000002</v>
      </c>
      <c r="D14" s="88">
        <f t="shared" ref="D14:I14" si="6">D11*D13</f>
        <v>491.72816999999998</v>
      </c>
      <c r="E14" s="88">
        <f t="shared" si="6"/>
        <v>368.88900100000001</v>
      </c>
      <c r="F14" s="88">
        <f t="shared" si="6"/>
        <v>579.25090999999998</v>
      </c>
      <c r="G14" s="77">
        <f t="shared" si="6"/>
        <v>752.21236199999998</v>
      </c>
      <c r="H14" s="77">
        <f t="shared" si="6"/>
        <v>856.89016900000001</v>
      </c>
      <c r="I14" s="77">
        <f t="shared" si="6"/>
        <v>960.79954200000009</v>
      </c>
      <c r="J14" s="77">
        <f t="shared" ref="J14:Q14" si="7">J11*J13</f>
        <v>1029.7688309999999</v>
      </c>
      <c r="K14" s="77">
        <f t="shared" si="7"/>
        <v>1177.3077120000003</v>
      </c>
      <c r="L14" s="77">
        <f t="shared" si="7"/>
        <v>1341.2898576000002</v>
      </c>
      <c r="M14" s="77">
        <f t="shared" si="7"/>
        <v>1462.0059447840003</v>
      </c>
      <c r="N14" s="77">
        <f t="shared" si="7"/>
        <v>1598.7539146194001</v>
      </c>
      <c r="O14" s="77">
        <f t="shared" si="7"/>
        <v>1686.6853799234671</v>
      </c>
      <c r="P14" s="77">
        <f t="shared" si="7"/>
        <v>1783.8841984275314</v>
      </c>
      <c r="Q14" s="77">
        <f t="shared" si="7"/>
        <v>1819.561882396082</v>
      </c>
    </row>
    <row r="15" spans="1:28" x14ac:dyDescent="0.25">
      <c r="A15" s="108">
        <v>0.25</v>
      </c>
      <c r="B15" s="4" t="s">
        <v>42</v>
      </c>
      <c r="C15" s="88">
        <v>332.43838699999998</v>
      </c>
      <c r="D15" s="88">
        <v>358.74508000000003</v>
      </c>
      <c r="E15" s="88">
        <v>300.32548500000001</v>
      </c>
      <c r="F15" s="88">
        <v>393.46502999999996</v>
      </c>
      <c r="G15" s="77">
        <v>554.23209599999996</v>
      </c>
      <c r="H15" s="77">
        <v>587.90693999999996</v>
      </c>
      <c r="I15" s="77">
        <v>660.50588500000003</v>
      </c>
      <c r="J15" s="77">
        <v>772.23276899999996</v>
      </c>
      <c r="K15" s="77">
        <f t="shared" ref="K15:Q15" si="8">K14*(1-$A$15)</f>
        <v>882.9807840000002</v>
      </c>
      <c r="L15" s="77">
        <f t="shared" si="8"/>
        <v>1005.9673932000002</v>
      </c>
      <c r="M15" s="77">
        <f t="shared" si="8"/>
        <v>1096.5044585880003</v>
      </c>
      <c r="N15" s="77">
        <f t="shared" si="8"/>
        <v>1199.06543596455</v>
      </c>
      <c r="O15" s="77">
        <f t="shared" si="8"/>
        <v>1265.0140349426003</v>
      </c>
      <c r="P15" s="77">
        <f t="shared" si="8"/>
        <v>1337.9131488206485</v>
      </c>
      <c r="Q15" s="77">
        <f t="shared" si="8"/>
        <v>1364.6714117970614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0.80281207133058974</v>
      </c>
      <c r="D16" s="15">
        <f t="shared" si="9"/>
        <v>0.72955974842767302</v>
      </c>
      <c r="E16" s="15">
        <f t="shared" si="9"/>
        <v>0.81413510347520501</v>
      </c>
      <c r="F16" s="15">
        <f t="shared" si="9"/>
        <v>0.67926527728717767</v>
      </c>
      <c r="G16" s="15">
        <f t="shared" si="9"/>
        <v>0.73680269561961809</v>
      </c>
      <c r="H16" s="15">
        <f t="shared" si="9"/>
        <v>0.68609369236444107</v>
      </c>
      <c r="I16" s="15">
        <f t="shared" si="9"/>
        <v>0.68745441283734499</v>
      </c>
      <c r="J16" s="15">
        <f t="shared" si="9"/>
        <v>0.74990885891359826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2.0867172289156621</v>
      </c>
      <c r="H17" s="77">
        <f t="shared" ref="H17:P17" si="10">H15/H18</f>
        <v>2.2135050451807228</v>
      </c>
      <c r="I17" s="77">
        <f t="shared" si="10"/>
        <v>2.4868444465361446</v>
      </c>
      <c r="J17" s="77">
        <f t="shared" si="10"/>
        <v>2.9075028953313251</v>
      </c>
      <c r="K17" s="77">
        <f t="shared" si="10"/>
        <v>3.3244758433734942</v>
      </c>
      <c r="L17" s="77">
        <f t="shared" si="10"/>
        <v>3.7875278358433739</v>
      </c>
      <c r="M17" s="77">
        <f t="shared" si="10"/>
        <v>4.1284053410692776</v>
      </c>
      <c r="N17" s="77">
        <f t="shared" si="10"/>
        <v>4.5145535992641186</v>
      </c>
      <c r="O17" s="77">
        <f t="shared" si="10"/>
        <v>4.7628540472236454</v>
      </c>
      <c r="P17" s="77">
        <f t="shared" si="10"/>
        <v>5.0373236024873806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265.60000000000002</v>
      </c>
      <c r="H18" s="77">
        <f>G18*1</f>
        <v>265.60000000000002</v>
      </c>
      <c r="I18" s="77">
        <f t="shared" ref="I18:P18" si="11">H18*1</f>
        <v>265.60000000000002</v>
      </c>
      <c r="J18" s="77">
        <f t="shared" si="11"/>
        <v>265.60000000000002</v>
      </c>
      <c r="K18" s="77">
        <f t="shared" si="11"/>
        <v>265.60000000000002</v>
      </c>
      <c r="L18" s="77">
        <f t="shared" si="11"/>
        <v>265.60000000000002</v>
      </c>
      <c r="M18" s="77">
        <f t="shared" si="11"/>
        <v>265.60000000000002</v>
      </c>
      <c r="N18" s="77">
        <f t="shared" si="11"/>
        <v>265.60000000000002</v>
      </c>
      <c r="O18" s="77">
        <f t="shared" si="11"/>
        <v>265.60000000000002</v>
      </c>
      <c r="P18" s="77">
        <f t="shared" si="11"/>
        <v>265.60000000000002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507.30626636155603</v>
      </c>
      <c r="H19" s="55">
        <f>H15/(1+$C$55)^2</f>
        <v>492.56743450507668</v>
      </c>
      <c r="I19" s="55">
        <f>I15/(1+$C$55)^3</f>
        <v>506.53837702797028</v>
      </c>
      <c r="J19" s="55">
        <f>J15/(1+$C$55)^4</f>
        <v>542.07882631845359</v>
      </c>
      <c r="K19" s="55">
        <f>K15/(1+$C$55)^5</f>
        <v>567.34080958183904</v>
      </c>
      <c r="L19" s="55">
        <f>L15/(1+$C$55)^6</f>
        <v>591.63686909645844</v>
      </c>
      <c r="M19" s="55">
        <f>M15/(1+$C$55)^7</f>
        <v>590.28300898410953</v>
      </c>
      <c r="N19" s="55">
        <f>N15/(1+$C$55)^8</f>
        <v>590.84194499829778</v>
      </c>
      <c r="O19" s="55">
        <f>O15/(1+$C$55)^9</f>
        <v>570.56132903725779</v>
      </c>
      <c r="P19" s="55">
        <f>P15/(1+$C$55)^10</f>
        <v>552.34886447542772</v>
      </c>
      <c r="Q19" s="56">
        <f>(Q15/(C55-Q12))/(1+C55)^10</f>
        <v>7770.9771277922246</v>
      </c>
    </row>
    <row r="20" spans="1:18" x14ac:dyDescent="0.25">
      <c r="A20" s="2"/>
      <c r="C20" s="80"/>
      <c r="D20" s="89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2.5000000000000001E-2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2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6.7500000000000004E-2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2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2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1.5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2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9.2499999999999999E-2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9.2499999999999999E-2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9.2499999999999999E-2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0">
        <v>44779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13094.08</v>
      </c>
      <c r="D49" s="49">
        <f>SUM(G19:Q19)</f>
        <v>13282.480858178671</v>
      </c>
      <c r="E49" s="48" t="s">
        <v>48</v>
      </c>
    </row>
    <row r="50" spans="1:17" x14ac:dyDescent="0.25">
      <c r="A50" s="47"/>
      <c r="B50" s="48" t="s">
        <v>11</v>
      </c>
      <c r="C50" s="75">
        <v>265.60000000000002</v>
      </c>
      <c r="D50" s="75">
        <f>C50</f>
        <v>265.60000000000002</v>
      </c>
      <c r="E50" s="48"/>
    </row>
    <row r="51" spans="1:17" x14ac:dyDescent="0.25">
      <c r="A51" s="47"/>
      <c r="B51" s="48" t="s">
        <v>13</v>
      </c>
      <c r="C51" s="94">
        <v>49.3</v>
      </c>
      <c r="D51" s="58">
        <f>D49/(D50)</f>
        <v>50.00934058049198</v>
      </c>
      <c r="E51" s="48" t="s">
        <v>48</v>
      </c>
    </row>
    <row r="52" spans="1:17" x14ac:dyDescent="0.25">
      <c r="A52" s="47"/>
      <c r="B52" s="48" t="s">
        <v>2</v>
      </c>
      <c r="C52" s="48"/>
      <c r="D52" s="59">
        <f>IF(C51/D51-1&gt;0,0,C51/D51-1)*-1</f>
        <v>1.4184161843731391E-2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9.2499999999999999E-2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10175749.597825147</v>
      </c>
      <c r="E57" s="48"/>
      <c r="F57" s="1" t="s">
        <v>26</v>
      </c>
      <c r="H57" s="1">
        <f>G15/(1+$B$57)</f>
        <v>500.20947292418765</v>
      </c>
      <c r="I57" s="1">
        <f>H15/(1+$B$57)^2</f>
        <v>478.88260957395494</v>
      </c>
      <c r="J57" s="1">
        <f>I15/(1+$B$57)^3</f>
        <v>485.57622032237504</v>
      </c>
      <c r="K57" s="1">
        <f>J15/(1+$B$57)^4</f>
        <v>512.37647907623818</v>
      </c>
      <c r="L57" s="1">
        <f>K15/(1+$B$57)^5</f>
        <v>528.75252013785473</v>
      </c>
      <c r="M57" s="1">
        <f>L15/(1+$B$57)^6</f>
        <v>543.68248428305708</v>
      </c>
      <c r="N57" s="1">
        <f>M15/(1+$B$57)^7</f>
        <v>534.85009735427093</v>
      </c>
      <c r="O57" s="1">
        <f>N15/(1+$B$57)^8</f>
        <v>527.86735068926021</v>
      </c>
      <c r="P57" s="1">
        <f>O15/(1+$B$57)^9</f>
        <v>502.61737813823953</v>
      </c>
      <c r="Q57" s="1">
        <f>(Q15/(B57-Q12))/(1+B57)^10</f>
        <v>5560.9349853257072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26</v>
      </c>
      <c r="D59" s="23"/>
      <c r="E59" s="24"/>
    </row>
    <row r="60" spans="1:17" x14ac:dyDescent="0.25">
      <c r="A60" s="25" t="s">
        <v>24</v>
      </c>
      <c r="B60" s="26"/>
      <c r="C60" s="72" t="s">
        <v>45</v>
      </c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130.9704136646719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0.3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10.574912965567544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47</v>
      </c>
      <c r="B68" s="26"/>
      <c r="C68" s="26"/>
      <c r="D68" s="26"/>
      <c r="E68" s="65">
        <f>(E66*0.375)*-1</f>
        <v>-3.9655923620878291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137.57973426815161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1.79066398109841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67" t="s">
        <v>21</v>
      </c>
      <c r="B74" s="68"/>
      <c r="C74" s="68"/>
      <c r="D74" s="68"/>
      <c r="E74" s="112">
        <f>(E70/C51)^(1/10)-1</f>
        <v>0.10807907749373302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2022-08-06T07:27:47Z</dcterms:modified>
</cp:coreProperties>
</file>