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WLA\"/>
    </mc:Choice>
  </mc:AlternateContent>
  <xr:revisionPtr revIDLastSave="0" documentId="8_{90F32D7C-8C2C-4020-996F-0EA33A4901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essimistisch" sheetId="34" r:id="rId1"/>
    <sheet name="Optimistisch" sheetId="3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34" l="1"/>
  <c r="J18" i="34"/>
  <c r="K18" i="34" s="1"/>
  <c r="L18" i="34" s="1"/>
  <c r="M18" i="34" s="1"/>
  <c r="N18" i="34" s="1"/>
  <c r="O18" i="34" s="1"/>
  <c r="P18" i="34" s="1"/>
  <c r="H18" i="34"/>
  <c r="J11" i="32" l="1"/>
  <c r="D50" i="34" l="1"/>
  <c r="D50" i="32"/>
  <c r="G18" i="34"/>
  <c r="G18" i="32"/>
  <c r="H18" i="32" s="1"/>
  <c r="I18" i="32" s="1"/>
  <c r="J18" i="32" s="1"/>
  <c r="K18" i="32" s="1"/>
  <c r="L18" i="32" s="1"/>
  <c r="M18" i="32" s="1"/>
  <c r="N18" i="32" s="1"/>
  <c r="O18" i="32" s="1"/>
  <c r="P18" i="32" s="1"/>
  <c r="G14" i="32" l="1"/>
  <c r="H14" i="32"/>
  <c r="I14" i="32"/>
  <c r="D14" i="32"/>
  <c r="E14" i="32"/>
  <c r="F14" i="32"/>
  <c r="C14" i="32"/>
  <c r="I25" i="32" l="1"/>
  <c r="C14" i="34" l="1"/>
  <c r="D14" i="34"/>
  <c r="E14" i="34"/>
  <c r="F14" i="34"/>
  <c r="G14" i="34"/>
  <c r="H14" i="34"/>
  <c r="I14" i="34"/>
  <c r="I12" i="32" l="1"/>
  <c r="H12" i="34" l="1"/>
  <c r="I12" i="34"/>
  <c r="G12" i="34"/>
  <c r="E12" i="34"/>
  <c r="F12" i="34"/>
  <c r="D12" i="34"/>
  <c r="D12" i="32" l="1"/>
  <c r="E12" i="32"/>
  <c r="F12" i="32"/>
  <c r="G12" i="32"/>
  <c r="H12" i="32"/>
  <c r="C16" i="34" l="1"/>
  <c r="H16" i="34"/>
  <c r="G16" i="34"/>
  <c r="F16" i="34"/>
  <c r="E16" i="34"/>
  <c r="D16" i="34"/>
  <c r="C49" i="32"/>
  <c r="G17" i="34" l="1"/>
  <c r="H17" i="34"/>
  <c r="C49" i="34" l="1"/>
  <c r="I31" i="34"/>
  <c r="I33" i="34" s="1"/>
  <c r="D46" i="34" s="1"/>
  <c r="C55" i="34" s="1"/>
  <c r="I25" i="34"/>
  <c r="I57" i="32"/>
  <c r="I31" i="32"/>
  <c r="I33" i="32" s="1"/>
  <c r="D46" i="32" s="1"/>
  <c r="C55" i="32" s="1"/>
  <c r="C16" i="32"/>
  <c r="G19" i="32" l="1"/>
  <c r="H19" i="34"/>
  <c r="G19" i="34"/>
  <c r="H57" i="34"/>
  <c r="I57" i="34"/>
  <c r="H16" i="32"/>
  <c r="H19" i="32"/>
  <c r="H57" i="32"/>
  <c r="G16" i="32"/>
  <c r="F16" i="32" l="1"/>
  <c r="E16" i="32"/>
  <c r="D16" i="32"/>
  <c r="J57" i="32" l="1"/>
  <c r="I16" i="32"/>
  <c r="I19" i="32"/>
  <c r="J57" i="34" l="1"/>
  <c r="I16" i="34"/>
  <c r="I19" i="34"/>
  <c r="I17" i="34"/>
  <c r="H17" i="32" l="1"/>
  <c r="G17" i="32"/>
  <c r="I17" i="32" l="1"/>
  <c r="K11" i="32" l="1"/>
  <c r="L11" i="32" s="1"/>
  <c r="J14" i="32" l="1"/>
  <c r="J15" i="32" s="1"/>
  <c r="L14" i="32"/>
  <c r="L15" i="32" s="1"/>
  <c r="M11" i="32"/>
  <c r="K14" i="32"/>
  <c r="K15" i="32" s="1"/>
  <c r="K57" i="32" l="1"/>
  <c r="J19" i="32"/>
  <c r="J17" i="32"/>
  <c r="J16" i="32"/>
  <c r="L19" i="32"/>
  <c r="L17" i="32"/>
  <c r="M57" i="32"/>
  <c r="K19" i="32"/>
  <c r="K17" i="32"/>
  <c r="L57" i="32"/>
  <c r="M14" i="32"/>
  <c r="M15" i="32" s="1"/>
  <c r="N11" i="32"/>
  <c r="N57" i="32" l="1"/>
  <c r="M17" i="32"/>
  <c r="M19" i="32"/>
  <c r="N14" i="32"/>
  <c r="N15" i="32" s="1"/>
  <c r="O11" i="32"/>
  <c r="O14" i="32" s="1"/>
  <c r="O15" i="32" s="1"/>
  <c r="O19" i="32" s="1"/>
  <c r="N19" i="32" l="1"/>
  <c r="N17" i="32"/>
  <c r="O57" i="32"/>
  <c r="P11" i="32"/>
  <c r="Q11" i="32" l="1"/>
  <c r="Q14" i="32" s="1"/>
  <c r="Q15" i="32" s="1"/>
  <c r="P14" i="32"/>
  <c r="P15" i="32" s="1"/>
  <c r="P17" i="32" s="1"/>
  <c r="O17" i="32"/>
  <c r="P57" i="32"/>
  <c r="E62" i="32" l="1"/>
  <c r="E66" i="32"/>
  <c r="Q57" i="32"/>
  <c r="D57" i="32" s="1"/>
  <c r="Q19" i="32"/>
  <c r="P19" i="32"/>
  <c r="D41" i="32"/>
  <c r="D43" i="32"/>
  <c r="D44" i="32"/>
  <c r="D40" i="32"/>
  <c r="D42" i="32"/>
  <c r="D49" i="32" l="1"/>
  <c r="D51" i="32" s="1"/>
  <c r="D52" i="32" s="1"/>
  <c r="E68" i="32"/>
  <c r="E70" i="32" s="1"/>
  <c r="D53" i="32" l="1"/>
  <c r="E74" i="32"/>
  <c r="E72" i="32" l="1"/>
  <c r="J11" i="34"/>
  <c r="K11" i="34" s="1"/>
  <c r="J14" i="34" l="1"/>
  <c r="J15" i="34" s="1"/>
  <c r="J19" i="34" s="1"/>
  <c r="J16" i="34"/>
  <c r="K57" i="34"/>
  <c r="J17" i="34"/>
  <c r="L11" i="34"/>
  <c r="K14" i="34"/>
  <c r="K15" i="34" s="1"/>
  <c r="K19" i="34" l="1"/>
  <c r="K17" i="34"/>
  <c r="L57" i="34"/>
  <c r="M11" i="34"/>
  <c r="L14" i="34"/>
  <c r="L15" i="34" s="1"/>
  <c r="M57" i="34" l="1"/>
  <c r="L17" i="34"/>
  <c r="L19" i="34"/>
  <c r="M14" i="34"/>
  <c r="M15" i="34" s="1"/>
  <c r="N11" i="34"/>
  <c r="N14" i="34" l="1"/>
  <c r="N15" i="34" s="1"/>
  <c r="O11" i="34"/>
  <c r="M17" i="34"/>
  <c r="N57" i="34"/>
  <c r="M19" i="34"/>
  <c r="P11" i="34" l="1"/>
  <c r="O14" i="34"/>
  <c r="O15" i="34" s="1"/>
  <c r="O57" i="34"/>
  <c r="N17" i="34"/>
  <c r="N19" i="34"/>
  <c r="O17" i="34" l="1"/>
  <c r="P57" i="34"/>
  <c r="O19" i="34"/>
  <c r="Q11" i="34"/>
  <c r="Q14" i="34" s="1"/>
  <c r="Q15" i="34" s="1"/>
  <c r="P14" i="34"/>
  <c r="P15" i="34" s="1"/>
  <c r="Q57" i="34" l="1"/>
  <c r="D57" i="34" s="1"/>
  <c r="Q19" i="34"/>
  <c r="D43" i="34"/>
  <c r="D40" i="34"/>
  <c r="D44" i="34"/>
  <c r="D41" i="34"/>
  <c r="P19" i="34"/>
  <c r="P17" i="34"/>
  <c r="D42" i="34"/>
  <c r="D49" i="34" l="1"/>
  <c r="D51" i="34" s="1"/>
  <c r="E62" i="34"/>
  <c r="E66" i="34"/>
  <c r="E68" i="34" s="1"/>
  <c r="E70" i="34" l="1"/>
  <c r="E74" i="34" s="1"/>
  <c r="D53" i="34"/>
  <c r="D52" i="34"/>
  <c r="E72" i="34" l="1"/>
</calcChain>
</file>

<file path=xl/sharedStrings.xml><?xml version="1.0" encoding="utf-8"?>
<sst xmlns="http://schemas.openxmlformats.org/spreadsheetml/2006/main" count="99" uniqueCount="49">
  <si>
    <t>Bewertung</t>
  </si>
  <si>
    <t>Umsatz-Wachstum, %</t>
  </si>
  <si>
    <t>Unterbewertung</t>
  </si>
  <si>
    <t>Fairer Wert</t>
  </si>
  <si>
    <t>Umsatz</t>
  </si>
  <si>
    <t>Marktkapitalisierung, Mio.</t>
  </si>
  <si>
    <t>Verhältnis EBIT zu Konzerngewinn:</t>
  </si>
  <si>
    <t>EK Quote:</t>
  </si>
  <si>
    <t>Vereinfachter WACC:</t>
  </si>
  <si>
    <t>Schätzungen »</t>
  </si>
  <si>
    <t>Discounted Net-Profit Modell</t>
  </si>
  <si>
    <t>Anzahl Aktien gesamt, Mio.</t>
  </si>
  <si>
    <t>Abgezinster Gewinn:</t>
  </si>
  <si>
    <t xml:space="preserve">Kurs pro Aktie </t>
  </si>
  <si>
    <t>Überbewertung</t>
  </si>
  <si>
    <t>EBIT Marge, %</t>
  </si>
  <si>
    <t>EBIT</t>
  </si>
  <si>
    <t xml:space="preserve">Ausschüttungsquote </t>
  </si>
  <si>
    <t xml:space="preserve">Ausgeschüttete Gewinne </t>
  </si>
  <si>
    <t>Gesamtwert 2031</t>
  </si>
  <si>
    <t>Steigerung Gesamt bis 2031 in Prozent</t>
  </si>
  <si>
    <t>Renditeerwartung bis 2031 pro Jahr</t>
  </si>
  <si>
    <t>Eigenkapitalzins</t>
  </si>
  <si>
    <t>EK-Zins</t>
  </si>
  <si>
    <t xml:space="preserve">Umsatzmultiple </t>
  </si>
  <si>
    <t>Nullzinsmarkterwartung:</t>
  </si>
  <si>
    <t>Abgezinster Gewinn in Mrd. USD:</t>
  </si>
  <si>
    <t>Eigenkapitalverzinsung</t>
  </si>
  <si>
    <t>Risikoloser Basiszins:</t>
  </si>
  <si>
    <t>rF</t>
  </si>
  <si>
    <t>Risikoprämie:</t>
  </si>
  <si>
    <t>Marktrendite:</t>
  </si>
  <si>
    <t>rM</t>
  </si>
  <si>
    <t>ß</t>
  </si>
  <si>
    <t xml:space="preserve">Eigenkapitalkosten: </t>
  </si>
  <si>
    <t>rE</t>
  </si>
  <si>
    <t xml:space="preserve">Alle Angaben in Mio. </t>
  </si>
  <si>
    <t>Keine Rundung</t>
  </si>
  <si>
    <t>Beta Faktor:</t>
  </si>
  <si>
    <t>Gewinn je Aktie</t>
  </si>
  <si>
    <t>Gewinn je Aktie multipliziert mit fiktivem KGV</t>
  </si>
  <si>
    <t>Anzahl der Aktien in Mio. diluted (geschätzt)</t>
  </si>
  <si>
    <t>Gewinn (abzgl. Steuern, Zinsen)</t>
  </si>
  <si>
    <t>KGV Multiple in 2031</t>
  </si>
  <si>
    <t xml:space="preserve"> </t>
  </si>
  <si>
    <t>USD</t>
  </si>
  <si>
    <t>Quellensteuer USA (25 %)</t>
  </si>
  <si>
    <t xml:space="preserve"> Annahmen für Ametek</t>
  </si>
  <si>
    <t>2032ff.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</si>
</sst>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0.0%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theme="0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7" fillId="2" borderId="0" xfId="0" applyFont="1" applyFill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9" fillId="2" borderId="0" xfId="0" applyFont="1" applyFill="1"/>
    <xf numFmtId="9" fontId="9" fillId="2" borderId="0" xfId="1" applyFont="1" applyFill="1"/>
    <xf numFmtId="0" fontId="0" fillId="4" borderId="0" xfId="0" applyFill="1"/>
    <xf numFmtId="0" fontId="5" fillId="4" borderId="0" xfId="0" applyFont="1" applyFill="1"/>
    <xf numFmtId="0" fontId="4" fillId="4" borderId="0" xfId="0" applyFont="1" applyFill="1"/>
    <xf numFmtId="0" fontId="5" fillId="5" borderId="0" xfId="0" applyFont="1" applyFill="1"/>
    <xf numFmtId="165" fontId="3" fillId="7" borderId="0" xfId="1" applyNumberFormat="1" applyFont="1" applyFill="1"/>
    <xf numFmtId="0" fontId="0" fillId="2" borderId="1" xfId="0" applyFill="1" applyBorder="1" applyAlignment="1">
      <alignment wrapText="1"/>
    </xf>
    <xf numFmtId="0" fontId="8" fillId="2" borderId="2" xfId="0" applyFont="1" applyFill="1" applyBorder="1"/>
    <xf numFmtId="9" fontId="0" fillId="2" borderId="3" xfId="1" applyFont="1" applyFill="1" applyBorder="1"/>
    <xf numFmtId="0" fontId="0" fillId="6" borderId="0" xfId="0" applyFill="1" applyAlignment="1">
      <alignment wrapText="1"/>
    </xf>
    <xf numFmtId="0" fontId="0" fillId="6" borderId="0" xfId="0" applyFill="1"/>
    <xf numFmtId="0" fontId="5" fillId="6" borderId="0" xfId="0" applyFont="1" applyFill="1" applyAlignment="1">
      <alignment horizontal="right"/>
    </xf>
    <xf numFmtId="0" fontId="7" fillId="6" borderId="0" xfId="0" applyFont="1" applyFill="1"/>
    <xf numFmtId="0" fontId="10" fillId="6" borderId="0" xfId="0" applyFont="1" applyFill="1"/>
    <xf numFmtId="4" fontId="5" fillId="6" borderId="0" xfId="0" applyNumberFormat="1" applyFont="1" applyFill="1"/>
    <xf numFmtId="0" fontId="5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0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1" fillId="2" borderId="0" xfId="0" applyFont="1" applyFill="1"/>
    <xf numFmtId="4" fontId="5" fillId="2" borderId="4" xfId="0" applyNumberFormat="1" applyFont="1" applyFill="1" applyBorder="1"/>
    <xf numFmtId="4" fontId="0" fillId="2" borderId="5" xfId="0" applyNumberFormat="1" applyFill="1" applyBorder="1"/>
    <xf numFmtId="3" fontId="0" fillId="2" borderId="5" xfId="0" applyNumberFormat="1" applyFill="1" applyBorder="1"/>
    <xf numFmtId="4" fontId="0" fillId="2" borderId="7" xfId="0" applyNumberFormat="1" applyFill="1" applyBorder="1"/>
    <xf numFmtId="4" fontId="0" fillId="2" borderId="0" xfId="0" applyNumberFormat="1" applyFill="1"/>
    <xf numFmtId="3" fontId="0" fillId="2" borderId="0" xfId="0" applyNumberFormat="1" applyFill="1"/>
    <xf numFmtId="165" fontId="3" fillId="2" borderId="0" xfId="1" applyNumberFormat="1" applyFont="1" applyFill="1" applyBorder="1"/>
    <xf numFmtId="3" fontId="5" fillId="2" borderId="0" xfId="0" applyNumberFormat="1" applyFont="1" applyFill="1"/>
    <xf numFmtId="165" fontId="5" fillId="2" borderId="0" xfId="1" applyNumberFormat="1" applyFont="1" applyFill="1" applyBorder="1"/>
    <xf numFmtId="9" fontId="0" fillId="2" borderId="0" xfId="1" applyFont="1" applyFill="1" applyBorder="1"/>
    <xf numFmtId="9" fontId="0" fillId="2" borderId="0" xfId="0" applyNumberFormat="1" applyFill="1"/>
    <xf numFmtId="9" fontId="5" fillId="2" borderId="0" xfId="0" applyNumberFormat="1" applyFont="1" applyFill="1"/>
    <xf numFmtId="10" fontId="5" fillId="2" borderId="10" xfId="0" applyNumberFormat="1" applyFont="1" applyFill="1" applyBorder="1"/>
    <xf numFmtId="0" fontId="5" fillId="8" borderId="0" xfId="0" applyFont="1" applyFill="1" applyAlignment="1">
      <alignment vertical="center" wrapText="1"/>
    </xf>
    <xf numFmtId="0" fontId="0" fillId="8" borderId="0" xfId="0" applyFill="1"/>
    <xf numFmtId="4" fontId="9" fillId="8" borderId="0" xfId="0" applyNumberFormat="1" applyFont="1" applyFill="1"/>
    <xf numFmtId="0" fontId="5" fillId="8" borderId="0" xfId="0" applyFont="1" applyFill="1"/>
    <xf numFmtId="1" fontId="3" fillId="8" borderId="0" xfId="1" applyNumberFormat="1" applyFont="1" applyFill="1"/>
    <xf numFmtId="10" fontId="5" fillId="8" borderId="0" xfId="1" applyNumberFormat="1" applyFont="1" applyFill="1"/>
    <xf numFmtId="0" fontId="0" fillId="2" borderId="1" xfId="0" applyFill="1" applyBorder="1"/>
    <xf numFmtId="0" fontId="9" fillId="2" borderId="2" xfId="0" applyFont="1" applyFill="1" applyBorder="1"/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0" fontId="10" fillId="7" borderId="0" xfId="0" applyFont="1" applyFill="1" applyAlignment="1">
      <alignment horizontal="right" vertical="center"/>
    </xf>
    <xf numFmtId="4" fontId="0" fillId="8" borderId="0" xfId="0" applyNumberFormat="1" applyFill="1"/>
    <xf numFmtId="9" fontId="0" fillId="9" borderId="0" xfId="1" applyFont="1" applyFill="1"/>
    <xf numFmtId="9" fontId="5" fillId="8" borderId="0" xfId="1" applyFont="1" applyFill="1"/>
    <xf numFmtId="0" fontId="0" fillId="2" borderId="4" xfId="0" applyFill="1" applyBorder="1"/>
    <xf numFmtId="4" fontId="0" fillId="2" borderId="8" xfId="0" applyNumberFormat="1" applyFill="1" applyBorder="1"/>
    <xf numFmtId="3" fontId="6" fillId="2" borderId="8" xfId="0" quotePrefix="1" applyNumberFormat="1" applyFont="1" applyFill="1" applyBorder="1"/>
    <xf numFmtId="10" fontId="0" fillId="2" borderId="7" xfId="0" applyNumberFormat="1" applyFill="1" applyBorder="1"/>
    <xf numFmtId="4" fontId="12" fillId="2" borderId="8" xfId="0" quotePrefix="1" applyNumberFormat="1" applyFont="1" applyFill="1" applyBorder="1"/>
    <xf numFmtId="9" fontId="0" fillId="2" borderId="8" xfId="1" applyFont="1" applyFill="1" applyBorder="1"/>
    <xf numFmtId="0" fontId="0" fillId="10" borderId="9" xfId="0" applyFill="1" applyBorder="1"/>
    <xf numFmtId="0" fontId="0" fillId="10" borderId="10" xfId="0" applyFill="1" applyBorder="1"/>
    <xf numFmtId="10" fontId="5" fillId="2" borderId="0" xfId="1" applyNumberFormat="1" applyFont="1" applyFill="1"/>
    <xf numFmtId="1" fontId="3" fillId="2" borderId="0" xfId="1" applyNumberFormat="1" applyFont="1" applyFill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2" borderId="0" xfId="1" applyFont="1" applyFill="1"/>
    <xf numFmtId="165" fontId="0" fillId="7" borderId="0" xfId="1" applyNumberFormat="1" applyFont="1" applyFill="1"/>
    <xf numFmtId="4" fontId="0" fillId="7" borderId="0" xfId="0" applyNumberFormat="1" applyFill="1"/>
    <xf numFmtId="10" fontId="0" fillId="8" borderId="0" xfId="0" applyNumberFormat="1" applyFill="1"/>
    <xf numFmtId="4" fontId="3" fillId="8" borderId="0" xfId="1" applyNumberFormat="1" applyFont="1" applyFill="1"/>
    <xf numFmtId="0" fontId="0" fillId="2" borderId="0" xfId="0" quotePrefix="1" applyFill="1"/>
    <xf numFmtId="0" fontId="5" fillId="2" borderId="7" xfId="0" applyFont="1" applyFill="1" applyBorder="1"/>
    <xf numFmtId="10" fontId="5" fillId="2" borderId="0" xfId="0" applyNumberFormat="1" applyFont="1" applyFill="1"/>
    <xf numFmtId="10" fontId="0" fillId="2" borderId="5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10" fontId="0" fillId="2" borderId="0" xfId="1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4" fontId="9" fillId="5" borderId="0" xfId="0" applyNumberFormat="1" applyFont="1" applyFill="1"/>
    <xf numFmtId="164" fontId="10" fillId="6" borderId="0" xfId="0" applyNumberFormat="1" applyFont="1" applyFill="1"/>
    <xf numFmtId="10" fontId="0" fillId="7" borderId="0" xfId="1" applyNumberFormat="1" applyFont="1" applyFill="1"/>
    <xf numFmtId="165" fontId="9" fillId="7" borderId="0" xfId="1" applyNumberFormat="1" applyFont="1" applyFill="1"/>
    <xf numFmtId="9" fontId="9" fillId="5" borderId="0" xfId="1" applyFont="1" applyFill="1"/>
    <xf numFmtId="2" fontId="0" fillId="8" borderId="0" xfId="0" applyNumberFormat="1" applyFill="1"/>
    <xf numFmtId="10" fontId="9" fillId="5" borderId="0" xfId="1" applyNumberFormat="1" applyFont="1" applyFill="1"/>
    <xf numFmtId="165" fontId="9" fillId="5" borderId="0" xfId="1" applyNumberFormat="1" applyFont="1" applyFill="1"/>
    <xf numFmtId="0" fontId="9" fillId="2" borderId="4" xfId="0" applyFont="1" applyFill="1" applyBorder="1"/>
    <xf numFmtId="0" fontId="9" fillId="2" borderId="5" xfId="0" applyFont="1" applyFill="1" applyBorder="1"/>
    <xf numFmtId="10" fontId="9" fillId="2" borderId="5" xfId="0" applyNumberFormat="1" applyFont="1" applyFill="1" applyBorder="1" applyAlignment="1">
      <alignment horizontal="right"/>
    </xf>
    <xf numFmtId="0" fontId="9" fillId="2" borderId="7" xfId="0" applyFont="1" applyFill="1" applyBorder="1"/>
    <xf numFmtId="0" fontId="9" fillId="2" borderId="0" xfId="0" applyFont="1" applyFill="1" applyAlignment="1">
      <alignment horizontal="right"/>
    </xf>
    <xf numFmtId="10" fontId="9" fillId="2" borderId="0" xfId="1" applyNumberFormat="1" applyFont="1" applyFill="1" applyBorder="1" applyAlignment="1">
      <alignment horizontal="right"/>
    </xf>
    <xf numFmtId="10" fontId="9" fillId="2" borderId="0" xfId="0" applyNumberFormat="1" applyFont="1" applyFill="1" applyAlignment="1">
      <alignment horizontal="right"/>
    </xf>
    <xf numFmtId="0" fontId="10" fillId="2" borderId="7" xfId="0" applyFont="1" applyFill="1" applyBorder="1"/>
    <xf numFmtId="0" fontId="10" fillId="2" borderId="0" xfId="0" applyFont="1" applyFill="1"/>
    <xf numFmtId="10" fontId="10" fillId="2" borderId="0" xfId="0" applyNumberFormat="1" applyFont="1" applyFill="1"/>
    <xf numFmtId="9" fontId="9" fillId="6" borderId="0" xfId="1" applyFont="1" applyFill="1"/>
    <xf numFmtId="10" fontId="0" fillId="2" borderId="0" xfId="1" applyNumberFormat="1" applyFont="1" applyFill="1"/>
    <xf numFmtId="10" fontId="0" fillId="10" borderId="10" xfId="1" applyNumberFormat="1" applyFont="1" applyFill="1" applyBorder="1"/>
  </cellXfs>
  <cellStyles count="7">
    <cellStyle name="Prozent" xfId="1" builtinId="5"/>
    <cellStyle name="Prozent 2" xfId="2" xr:uid="{00000000-0005-0000-0000-000001000000}"/>
    <cellStyle name="Prozent 3" xfId="4" xr:uid="{00000000-0005-0000-0000-000002000000}"/>
    <cellStyle name="Prozent 4" xfId="6" xr:uid="{DE5E001C-AEE3-45AD-B913-D01465EAAE5D}"/>
    <cellStyle name="Standard" xfId="0" builtinId="0"/>
    <cellStyle name="Standard 2" xfId="3" xr:uid="{00000000-0005-0000-0000-000004000000}"/>
    <cellStyle name="Standard 3" xfId="5" xr:uid="{D21CDE20-7D2B-4947-8C50-96BDB9D6365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CC99"/>
      <color rgb="FFFFCC66"/>
      <color rgb="FFFFEB7D"/>
      <color rgb="FF009900"/>
      <color rgb="FFCCCCFF"/>
      <color rgb="FF9966FF"/>
      <color rgb="FF9900CC"/>
      <color rgb="FFFFD802"/>
      <color rgb="FFFFF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148166</xdr:colOff>
      <xdr:row>22</xdr:row>
      <xdr:rowOff>84666</xdr:rowOff>
    </xdr:from>
    <xdr:to>
      <xdr:col>13</xdr:col>
      <xdr:colOff>672732</xdr:colOff>
      <xdr:row>29</xdr:row>
      <xdr:rowOff>73441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80E8E9-90E0-4C71-8FA2-90316083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4091" y="4656666"/>
          <a:ext cx="3582091" cy="13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148166</xdr:colOff>
      <xdr:row>22</xdr:row>
      <xdr:rowOff>84666</xdr:rowOff>
    </xdr:from>
    <xdr:to>
      <xdr:col>13</xdr:col>
      <xdr:colOff>672732</xdr:colOff>
      <xdr:row>29</xdr:row>
      <xdr:rowOff>73441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4A3B2B-061E-42EB-AB1A-BED6F37A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4091" y="4656666"/>
          <a:ext cx="3582091" cy="13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EB64-3C98-49AD-AFA7-32CB9200B01E}">
  <dimension ref="A2:AB74"/>
  <sheetViews>
    <sheetView tabSelected="1" zoomScaleNormal="100" workbookViewId="0">
      <selection activeCell="C49" sqref="C49"/>
    </sheetView>
  </sheetViews>
  <sheetFormatPr baseColWidth="10" defaultColWidth="10.625" defaultRowHeight="15.75" x14ac:dyDescent="0.25"/>
  <cols>
    <col min="1" max="1" width="27.125" style="1" bestFit="1" customWidth="1"/>
    <col min="2" max="2" width="32.375" style="1" customWidth="1"/>
    <col min="3" max="3" width="16" style="1" bestFit="1" customWidth="1"/>
    <col min="4" max="4" width="16.125" style="1" customWidth="1"/>
    <col min="5" max="5" width="14.125" style="1" customWidth="1"/>
    <col min="6" max="6" width="13.625" style="1" customWidth="1"/>
    <col min="7" max="7" width="14.875" style="1" customWidth="1"/>
    <col min="8" max="8" width="12.125" style="1" customWidth="1"/>
    <col min="9" max="9" width="12.375" style="1" bestFit="1" customWidth="1"/>
    <col min="10" max="16" width="13.375" style="1" bestFit="1" customWidth="1"/>
    <col min="17" max="18" width="10.625" style="1" customWidth="1"/>
    <col min="19" max="16384" width="10.625" style="1"/>
  </cols>
  <sheetData>
    <row r="2" spans="1:28" ht="26.25" x14ac:dyDescent="0.4">
      <c r="B2" s="31" t="s">
        <v>10</v>
      </c>
    </row>
    <row r="4" spans="1:28" x14ac:dyDescent="0.25">
      <c r="B4" s="22" t="s">
        <v>47</v>
      </c>
    </row>
    <row r="6" spans="1:28" x14ac:dyDescent="0.25">
      <c r="B6" s="1" t="s">
        <v>36</v>
      </c>
    </row>
    <row r="9" spans="1:28" s="8" customFormat="1" x14ac:dyDescent="0.25">
      <c r="G9" s="9" t="s">
        <v>9</v>
      </c>
      <c r="H9" s="10"/>
      <c r="I9" s="10"/>
      <c r="J9" s="10"/>
      <c r="K9" s="10"/>
      <c r="L9" s="10"/>
      <c r="M9" s="10"/>
      <c r="N9" s="10"/>
      <c r="O9" s="10"/>
      <c r="P9" s="10"/>
      <c r="Q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4"/>
      <c r="B10" s="4"/>
      <c r="C10" s="11">
        <v>2018</v>
      </c>
      <c r="D10" s="11">
        <v>2019</v>
      </c>
      <c r="E10" s="11">
        <v>2020</v>
      </c>
      <c r="F10" s="11">
        <v>2021</v>
      </c>
      <c r="G10" s="55">
        <v>2022</v>
      </c>
      <c r="H10" s="55">
        <v>2023</v>
      </c>
      <c r="I10" s="55">
        <v>2024</v>
      </c>
      <c r="J10" s="55">
        <v>2025</v>
      </c>
      <c r="K10" s="55">
        <v>2026</v>
      </c>
      <c r="L10" s="55">
        <v>2027</v>
      </c>
      <c r="M10" s="55">
        <v>2028</v>
      </c>
      <c r="N10" s="55">
        <v>2029</v>
      </c>
      <c r="O10" s="55">
        <v>2030</v>
      </c>
      <c r="P10" s="55">
        <v>2031</v>
      </c>
      <c r="Q10" s="55" t="s">
        <v>48</v>
      </c>
    </row>
    <row r="11" spans="1:28" x14ac:dyDescent="0.25">
      <c r="A11" s="5"/>
      <c r="B11" s="4" t="s">
        <v>4</v>
      </c>
      <c r="C11" s="84">
        <v>4845.87</v>
      </c>
      <c r="D11" s="84">
        <v>5158.5600000000004</v>
      </c>
      <c r="E11" s="84">
        <v>4540.03</v>
      </c>
      <c r="F11" s="84">
        <v>5546.41</v>
      </c>
      <c r="G11" s="74">
        <v>6055.58</v>
      </c>
      <c r="H11" s="74">
        <v>6341.43</v>
      </c>
      <c r="I11" s="74">
        <v>6794.41</v>
      </c>
      <c r="J11" s="74">
        <f>I11*(1+J12)</f>
        <v>7270.0187000000005</v>
      </c>
      <c r="K11" s="74">
        <f>J11*(1+K12)</f>
        <v>7778.9200090000013</v>
      </c>
      <c r="L11" s="74">
        <f>K11*(1+L12)</f>
        <v>8323.4444096300012</v>
      </c>
      <c r="M11" s="74">
        <f t="shared" ref="M11:Q11" si="0">L11*(1+M12)</f>
        <v>8739.6166301115009</v>
      </c>
      <c r="N11" s="74">
        <f t="shared" si="0"/>
        <v>9176.597461617077</v>
      </c>
      <c r="O11" s="74">
        <f t="shared" si="0"/>
        <v>9451.8953854655902</v>
      </c>
      <c r="P11" s="74">
        <f t="shared" si="0"/>
        <v>9640.9332931749013</v>
      </c>
      <c r="Q11" s="74">
        <f t="shared" si="0"/>
        <v>9785.5472925725244</v>
      </c>
    </row>
    <row r="12" spans="1:28" x14ac:dyDescent="0.25">
      <c r="A12" s="5"/>
      <c r="B12" s="4" t="s">
        <v>1</v>
      </c>
      <c r="C12" s="88"/>
      <c r="D12" s="91">
        <f>D11/C11-1</f>
        <v>6.4527112778510531E-2</v>
      </c>
      <c r="E12" s="91">
        <f t="shared" ref="E12:F12" si="1">E11/D11-1</f>
        <v>-0.11990361651313552</v>
      </c>
      <c r="F12" s="91">
        <f t="shared" si="1"/>
        <v>0.22166813875679248</v>
      </c>
      <c r="G12" s="87">
        <f>G11/F11-1</f>
        <v>9.1801723998045537E-2</v>
      </c>
      <c r="H12" s="87">
        <f t="shared" ref="H12:I12" si="2">H11/G11-1</f>
        <v>4.7204396606105536E-2</v>
      </c>
      <c r="I12" s="87">
        <f t="shared" si="2"/>
        <v>7.1431837929299746E-2</v>
      </c>
      <c r="J12" s="87">
        <v>7.0000000000000007E-2</v>
      </c>
      <c r="K12" s="87">
        <v>7.0000000000000007E-2</v>
      </c>
      <c r="L12" s="73">
        <v>7.0000000000000007E-2</v>
      </c>
      <c r="M12" s="73">
        <v>0.05</v>
      </c>
      <c r="N12" s="73">
        <v>0.05</v>
      </c>
      <c r="O12" s="73">
        <v>0.03</v>
      </c>
      <c r="P12" s="73">
        <v>0.02</v>
      </c>
      <c r="Q12" s="12">
        <v>1.4999999999999999E-2</v>
      </c>
    </row>
    <row r="13" spans="1:28" ht="15.95" customHeight="1" x14ac:dyDescent="0.25">
      <c r="A13" s="5"/>
      <c r="B13" s="4" t="s">
        <v>15</v>
      </c>
      <c r="C13" s="90">
        <v>0.22189999999999999</v>
      </c>
      <c r="D13" s="90">
        <v>0.22819999999999999</v>
      </c>
      <c r="E13" s="90">
        <v>0.2361</v>
      </c>
      <c r="F13" s="90">
        <v>0.2359</v>
      </c>
      <c r="G13" s="86">
        <v>0.24349999999999999</v>
      </c>
      <c r="H13" s="86">
        <v>0.2487</v>
      </c>
      <c r="I13" s="86">
        <v>0.25109999999999999</v>
      </c>
      <c r="J13" s="86">
        <v>0.252</v>
      </c>
      <c r="K13" s="86">
        <v>0.253</v>
      </c>
      <c r="L13" s="86">
        <v>0.254</v>
      </c>
      <c r="M13" s="86">
        <v>0.25600000000000001</v>
      </c>
      <c r="N13" s="86">
        <v>0.25800000000000001</v>
      </c>
      <c r="O13" s="86">
        <v>0.26</v>
      </c>
      <c r="P13" s="86">
        <v>0.26</v>
      </c>
      <c r="Q13" s="86">
        <v>0.26</v>
      </c>
    </row>
    <row r="14" spans="1:28" ht="17.100000000000001" customHeight="1" x14ac:dyDescent="0.25">
      <c r="A14" s="5"/>
      <c r="B14" s="4" t="s">
        <v>16</v>
      </c>
      <c r="C14" s="84">
        <f>C11*C13</f>
        <v>1075.2985529999999</v>
      </c>
      <c r="D14" s="84">
        <f t="shared" ref="D14:F14" si="3">D11*D13</f>
        <v>1177.1833919999999</v>
      </c>
      <c r="E14" s="84">
        <f t="shared" si="3"/>
        <v>1071.901083</v>
      </c>
      <c r="F14" s="84">
        <f t="shared" si="3"/>
        <v>1308.398119</v>
      </c>
      <c r="G14" s="74">
        <f>G11*G13</f>
        <v>1474.5337299999999</v>
      </c>
      <c r="H14" s="74">
        <f t="shared" ref="H14:J14" si="4">H11*H13</f>
        <v>1577.1136410000001</v>
      </c>
      <c r="I14" s="74">
        <f t="shared" si="4"/>
        <v>1706.0763509999999</v>
      </c>
      <c r="J14" s="74">
        <f t="shared" si="4"/>
        <v>1832.0447124000002</v>
      </c>
      <c r="K14" s="74">
        <f t="shared" ref="K14:Q14" si="5">K11*K13</f>
        <v>1968.0667622770004</v>
      </c>
      <c r="L14" s="74">
        <f t="shared" si="5"/>
        <v>2114.1548800460205</v>
      </c>
      <c r="M14" s="74">
        <f t="shared" si="5"/>
        <v>2237.3418573085441</v>
      </c>
      <c r="N14" s="74">
        <f t="shared" si="5"/>
        <v>2367.5621450972058</v>
      </c>
      <c r="O14" s="74">
        <f t="shared" si="5"/>
        <v>2457.4928002210536</v>
      </c>
      <c r="P14" s="74">
        <f t="shared" si="5"/>
        <v>2506.6426562254746</v>
      </c>
      <c r="Q14" s="74">
        <f t="shared" si="5"/>
        <v>2544.2422960688564</v>
      </c>
    </row>
    <row r="15" spans="1:28" x14ac:dyDescent="0.25">
      <c r="A15" s="102">
        <v>0.25</v>
      </c>
      <c r="B15" s="4" t="s">
        <v>42</v>
      </c>
      <c r="C15" s="84">
        <v>777.76213500000006</v>
      </c>
      <c r="D15" s="84">
        <v>861.47952000000009</v>
      </c>
      <c r="E15" s="84">
        <v>872.59376599999996</v>
      </c>
      <c r="F15" s="84">
        <v>990.03418499999998</v>
      </c>
      <c r="G15" s="74">
        <v>1135.4212499999999</v>
      </c>
      <c r="H15" s="74">
        <v>1218.822846</v>
      </c>
      <c r="I15" s="74">
        <v>1347.3315030000001</v>
      </c>
      <c r="J15" s="74">
        <f>J14*(1-$A$15)</f>
        <v>1374.0335343000002</v>
      </c>
      <c r="K15" s="74">
        <f>K14*(1-$A$15)</f>
        <v>1476.0500717077502</v>
      </c>
      <c r="L15" s="74">
        <f>L14*(1-$A$15)</f>
        <v>1585.6161600345154</v>
      </c>
      <c r="M15" s="74">
        <f t="shared" ref="M15:P15" si="6">M14*(1-$A$15)</f>
        <v>1678.0063929814082</v>
      </c>
      <c r="N15" s="74">
        <f t="shared" si="6"/>
        <v>1775.6716088229043</v>
      </c>
      <c r="O15" s="74">
        <f t="shared" si="6"/>
        <v>1843.1196001657902</v>
      </c>
      <c r="P15" s="74">
        <f t="shared" si="6"/>
        <v>1879.981992169106</v>
      </c>
      <c r="Q15" s="74">
        <f>Q14*(1-$A$15)</f>
        <v>1908.1817220516423</v>
      </c>
    </row>
    <row r="16" spans="1:28" ht="32.25" hidden="1" thickBot="1" x14ac:dyDescent="0.3">
      <c r="A16" s="13" t="s">
        <v>6</v>
      </c>
      <c r="B16" s="14"/>
      <c r="C16" s="15">
        <f t="shared" ref="C16:J16" si="7">C15/C14</f>
        <v>0.72329878323569186</v>
      </c>
      <c r="D16" s="15">
        <f t="shared" si="7"/>
        <v>0.73181419807186687</v>
      </c>
      <c r="E16" s="15">
        <f t="shared" si="7"/>
        <v>0.81406183820415079</v>
      </c>
      <c r="F16" s="15">
        <f t="shared" si="7"/>
        <v>0.75667655786350152</v>
      </c>
      <c r="G16" s="15">
        <f t="shared" si="7"/>
        <v>0.77002053388090341</v>
      </c>
      <c r="H16" s="15">
        <f t="shared" si="7"/>
        <v>0.77281865701648567</v>
      </c>
      <c r="I16" s="15">
        <f t="shared" si="7"/>
        <v>0.78972520908004784</v>
      </c>
      <c r="J16" s="15">
        <f t="shared" si="7"/>
        <v>0.75</v>
      </c>
    </row>
    <row r="17" spans="1:18" x14ac:dyDescent="0.25">
      <c r="A17" s="2" t="s">
        <v>39</v>
      </c>
      <c r="C17" s="84"/>
      <c r="D17" s="84"/>
      <c r="E17" s="84"/>
      <c r="F17" s="84"/>
      <c r="G17" s="74">
        <f>G15/G18</f>
        <v>4.8772390463917521</v>
      </c>
      <c r="H17" s="74">
        <f t="shared" ref="H17:P17" si="8">H15/H18</f>
        <v>5.2407340588010687</v>
      </c>
      <c r="I17" s="74">
        <f t="shared" si="8"/>
        <v>5.7990988547963047</v>
      </c>
      <c r="J17" s="74">
        <f t="shared" si="8"/>
        <v>5.9199479934067032</v>
      </c>
      <c r="K17" s="74">
        <f t="shared" si="8"/>
        <v>6.365846486546582</v>
      </c>
      <c r="L17" s="74">
        <f t="shared" si="8"/>
        <v>6.8452237142819898</v>
      </c>
      <c r="M17" s="74">
        <f t="shared" si="8"/>
        <v>7.2513305998872832</v>
      </c>
      <c r="N17" s="74">
        <f t="shared" si="8"/>
        <v>7.6810617629718205</v>
      </c>
      <c r="O17" s="74">
        <f t="shared" si="8"/>
        <v>7.980803827563431</v>
      </c>
      <c r="P17" s="74">
        <f t="shared" si="8"/>
        <v>8.1485684725872876</v>
      </c>
      <c r="Q17" s="74"/>
    </row>
    <row r="18" spans="1:18" ht="32.25" thickBot="1" x14ac:dyDescent="0.3">
      <c r="A18" s="2" t="s">
        <v>41</v>
      </c>
      <c r="C18" s="84"/>
      <c r="D18" s="84"/>
      <c r="E18" s="84"/>
      <c r="F18" s="84"/>
      <c r="G18" s="74">
        <f>C50</f>
        <v>232.8</v>
      </c>
      <c r="H18" s="74">
        <f>G18*0.999</f>
        <v>232.56720000000001</v>
      </c>
      <c r="I18" s="74">
        <f t="shared" ref="I18:P18" si="9">H18*0.999</f>
        <v>232.33463280000001</v>
      </c>
      <c r="J18" s="74">
        <f t="shared" si="9"/>
        <v>232.10229816720002</v>
      </c>
      <c r="K18" s="74">
        <f t="shared" si="9"/>
        <v>231.87019586903281</v>
      </c>
      <c r="L18" s="74">
        <f t="shared" si="9"/>
        <v>231.63832567316379</v>
      </c>
      <c r="M18" s="74">
        <f t="shared" si="9"/>
        <v>231.40668734749062</v>
      </c>
      <c r="N18" s="74">
        <f t="shared" si="9"/>
        <v>231.17528066014313</v>
      </c>
      <c r="O18" s="74">
        <f t="shared" si="9"/>
        <v>230.94410537948298</v>
      </c>
      <c r="P18" s="74">
        <f t="shared" si="9"/>
        <v>230.7131612741035</v>
      </c>
      <c r="Q18" s="74"/>
    </row>
    <row r="19" spans="1:18" ht="16.5" thickBot="1" x14ac:dyDescent="0.3">
      <c r="A19" s="2"/>
      <c r="E19" s="51" t="s">
        <v>12</v>
      </c>
      <c r="F19" s="52"/>
      <c r="G19" s="53">
        <f>G15/(1+$C$55)</f>
        <v>1052.29031510658</v>
      </c>
      <c r="H19" s="53">
        <f>H15/(1+$C$55)^2</f>
        <v>1046.8819136244131</v>
      </c>
      <c r="I19" s="53">
        <f>I15/(1+$C$55)^3</f>
        <v>1072.5316833818902</v>
      </c>
      <c r="J19" s="53">
        <f>J15/(1+$C$55)^4</f>
        <v>1013.7049177990664</v>
      </c>
      <c r="K19" s="53">
        <f>K15/(1+$C$55)^5</f>
        <v>1009.2386332781135</v>
      </c>
      <c r="L19" s="53">
        <f>L15/(1+$C$55)^6</f>
        <v>1004.7763291011138</v>
      </c>
      <c r="M19" s="53">
        <f>M15/(1+$C$55)^7</f>
        <v>985.47020521472689</v>
      </c>
      <c r="N19" s="53">
        <f>N15/(1+$C$55)^8</f>
        <v>966.47604332957872</v>
      </c>
      <c r="O19" s="53">
        <f>O15/(1+$C$55)^9</f>
        <v>929.73785806431886</v>
      </c>
      <c r="P19" s="53">
        <f>P15/(1+$C$55)^10</f>
        <v>878.89955071881866</v>
      </c>
      <c r="Q19" s="54">
        <f>(Q15/(C55-Q12))/(1+C55)^10</f>
        <v>13938.79756218126</v>
      </c>
    </row>
    <row r="20" spans="1:18" x14ac:dyDescent="0.25">
      <c r="A20" s="2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6"/>
      <c r="P20" s="3"/>
      <c r="Q20" s="3"/>
      <c r="R20" s="3"/>
    </row>
    <row r="21" spans="1:18" x14ac:dyDescent="0.25">
      <c r="A21" s="2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8" ht="16.5" thickBot="1" x14ac:dyDescent="0.3">
      <c r="P22" s="3"/>
      <c r="Q22" s="3"/>
      <c r="R22" s="3"/>
    </row>
    <row r="23" spans="1:18" x14ac:dyDescent="0.25">
      <c r="A23" s="32" t="s">
        <v>27</v>
      </c>
      <c r="B23" s="33"/>
      <c r="C23" s="33"/>
      <c r="D23" s="34"/>
      <c r="E23" s="23"/>
      <c r="F23" s="33"/>
      <c r="G23" s="92" t="s">
        <v>28</v>
      </c>
      <c r="H23" s="93"/>
      <c r="I23" s="94">
        <v>2.5000000000000001E-2</v>
      </c>
      <c r="J23" s="24" t="s">
        <v>29</v>
      </c>
    </row>
    <row r="24" spans="1:18" x14ac:dyDescent="0.25">
      <c r="A24" s="35"/>
      <c r="B24" s="36"/>
      <c r="C24" s="36"/>
      <c r="D24" s="37"/>
      <c r="E24" s="36"/>
      <c r="F24" s="36"/>
      <c r="G24" s="95"/>
      <c r="H24" s="6"/>
      <c r="I24" s="96"/>
      <c r="J24" s="26"/>
    </row>
    <row r="25" spans="1:18" x14ac:dyDescent="0.25">
      <c r="A25" s="35"/>
      <c r="B25" s="36"/>
      <c r="C25" s="36"/>
      <c r="D25" s="38"/>
      <c r="F25" s="36"/>
      <c r="G25" s="95" t="s">
        <v>30</v>
      </c>
      <c r="H25" s="6"/>
      <c r="I25" s="97">
        <f>(I27-I23)*I29</f>
        <v>5.4000000000000006E-2</v>
      </c>
      <c r="J25" s="26"/>
    </row>
    <row r="26" spans="1:18" x14ac:dyDescent="0.25">
      <c r="A26" s="35"/>
      <c r="B26" s="36"/>
      <c r="C26" s="36"/>
      <c r="D26" s="38"/>
      <c r="F26" s="36"/>
      <c r="G26" s="95"/>
      <c r="H26" s="6"/>
      <c r="I26" s="96"/>
      <c r="J26" s="26"/>
    </row>
    <row r="27" spans="1:18" x14ac:dyDescent="0.25">
      <c r="A27" s="35"/>
      <c r="B27" s="36"/>
      <c r="C27" s="36"/>
      <c r="D27" s="38"/>
      <c r="F27" s="36"/>
      <c r="G27" s="95" t="s">
        <v>31</v>
      </c>
      <c r="H27" s="6"/>
      <c r="I27" s="98">
        <v>7.0000000000000007E-2</v>
      </c>
      <c r="J27" s="26" t="s">
        <v>32</v>
      </c>
    </row>
    <row r="28" spans="1:18" x14ac:dyDescent="0.25">
      <c r="A28" s="35"/>
      <c r="B28" s="36"/>
      <c r="C28" s="36"/>
      <c r="D28" s="39"/>
      <c r="F28" s="36"/>
      <c r="G28" s="95"/>
      <c r="H28" s="6"/>
      <c r="I28" s="96"/>
      <c r="J28" s="26"/>
    </row>
    <row r="29" spans="1:18" x14ac:dyDescent="0.25">
      <c r="A29" s="35"/>
      <c r="B29" s="36"/>
      <c r="C29" s="36"/>
      <c r="D29" s="39"/>
      <c r="F29" s="36"/>
      <c r="G29" s="95" t="s">
        <v>38</v>
      </c>
      <c r="H29" s="6"/>
      <c r="I29" s="96">
        <v>1.2</v>
      </c>
      <c r="J29" s="26" t="s">
        <v>33</v>
      </c>
    </row>
    <row r="30" spans="1:18" x14ac:dyDescent="0.25">
      <c r="A30" s="35"/>
      <c r="B30" s="36"/>
      <c r="C30" s="36"/>
      <c r="D30" s="40"/>
      <c r="F30" s="36"/>
      <c r="G30" s="95"/>
      <c r="H30" s="6"/>
      <c r="I30" s="96"/>
      <c r="J30" s="26"/>
    </row>
    <row r="31" spans="1:18" x14ac:dyDescent="0.25">
      <c r="A31" s="35"/>
      <c r="B31" s="36"/>
      <c r="C31" s="36"/>
      <c r="D31" s="37"/>
      <c r="F31" s="36"/>
      <c r="G31" s="95" t="s">
        <v>34</v>
      </c>
      <c r="H31" s="6"/>
      <c r="I31" s="98">
        <f>I23+(I27-I23)*I29</f>
        <v>7.9000000000000015E-2</v>
      </c>
      <c r="J31" s="26" t="s">
        <v>35</v>
      </c>
    </row>
    <row r="32" spans="1:18" x14ac:dyDescent="0.25">
      <c r="A32" s="25"/>
      <c r="C32" s="41"/>
      <c r="E32" s="36"/>
      <c r="F32" s="36"/>
      <c r="G32" s="95"/>
      <c r="H32" s="6"/>
      <c r="I32" s="6"/>
      <c r="J32" s="26"/>
    </row>
    <row r="33" spans="1:10" x14ac:dyDescent="0.25">
      <c r="A33" s="25"/>
      <c r="G33" s="99" t="s">
        <v>37</v>
      </c>
      <c r="H33" s="100"/>
      <c r="I33" s="101">
        <f>I31</f>
        <v>7.9000000000000015E-2</v>
      </c>
      <c r="J33" s="26"/>
    </row>
    <row r="34" spans="1:10" x14ac:dyDescent="0.25">
      <c r="A34" s="35" t="s">
        <v>7</v>
      </c>
      <c r="B34" s="36"/>
      <c r="C34" s="42"/>
      <c r="D34" s="27"/>
      <c r="G34" s="95"/>
      <c r="H34" s="6"/>
      <c r="I34" s="6"/>
      <c r="J34" s="26"/>
    </row>
    <row r="35" spans="1:10" ht="15.75" hidden="1" customHeight="1" x14ac:dyDescent="0.25">
      <c r="A35" s="25"/>
      <c r="G35" s="25"/>
      <c r="J35" s="26"/>
    </row>
    <row r="36" spans="1:10" ht="15.75" hidden="1" customHeight="1" x14ac:dyDescent="0.25">
      <c r="A36" s="25"/>
      <c r="B36" s="1" t="s">
        <v>8</v>
      </c>
      <c r="D36" s="43">
        <v>0.08</v>
      </c>
      <c r="G36" s="25"/>
      <c r="J36" s="26"/>
    </row>
    <row r="37" spans="1:10" ht="15.75" hidden="1" customHeight="1" x14ac:dyDescent="0.25">
      <c r="A37" s="25"/>
      <c r="G37" s="25"/>
      <c r="J37" s="26"/>
    </row>
    <row r="38" spans="1:10" ht="15.75" hidden="1" customHeight="1" x14ac:dyDescent="0.25">
      <c r="A38" s="25"/>
      <c r="G38" s="25"/>
      <c r="J38" s="26"/>
    </row>
    <row r="39" spans="1:10" ht="15.75" hidden="1" customHeight="1" x14ac:dyDescent="0.25">
      <c r="A39" s="25"/>
      <c r="G39" s="25"/>
      <c r="J39" s="26"/>
    </row>
    <row r="40" spans="1:10" hidden="1" x14ac:dyDescent="0.25">
      <c r="A40" s="25"/>
      <c r="B40" s="41"/>
      <c r="C40" s="41">
        <v>0.12</v>
      </c>
      <c r="D40" s="41" t="e">
        <f>((NPV(C40,$G$15:$Q$15)+(#REF!*(1+#REF!)/(C40-#REF!))/(1+C40)^(2040-2020))/$D$50)/$C$51-1</f>
        <v>#REF!</v>
      </c>
      <c r="G40" s="25"/>
      <c r="J40" s="26"/>
    </row>
    <row r="41" spans="1:10" hidden="1" x14ac:dyDescent="0.25">
      <c r="A41" s="25"/>
      <c r="B41" s="41"/>
      <c r="C41" s="41">
        <v>0.14000000000000001</v>
      </c>
      <c r="D41" s="41" t="e">
        <f>((NPV(C41,$G$15:$Q$15)+(#REF!*(1+#REF!)/(C41-#REF!))/(1+C41)^(2040-2020))/$D$50)/$C$51-1</f>
        <v>#REF!</v>
      </c>
      <c r="G41" s="25"/>
      <c r="J41" s="26"/>
    </row>
    <row r="42" spans="1:10" hidden="1" x14ac:dyDescent="0.25">
      <c r="A42" s="25"/>
      <c r="B42" s="41"/>
      <c r="C42" s="41">
        <v>0.16</v>
      </c>
      <c r="D42" s="41" t="e">
        <f>((NPV(C42,$G$15:$Q$15)+(#REF!*(1+#REF!)/(C42-#REF!))/(1+C42)^(2040-2020))/$D$50)/$C$51-1</f>
        <v>#REF!</v>
      </c>
      <c r="G42" s="25"/>
      <c r="J42" s="26"/>
    </row>
    <row r="43" spans="1:10" hidden="1" x14ac:dyDescent="0.25">
      <c r="A43" s="25"/>
      <c r="B43" s="41"/>
      <c r="C43" s="41">
        <v>0.18</v>
      </c>
      <c r="D43" s="41" t="e">
        <f>((NPV(C43,$G$15:$Q$15)+(#REF!*(1+#REF!)/(C43-#REF!))/(1+C43)^(2040-2020))/$D$50)/$C$51-1</f>
        <v>#REF!</v>
      </c>
      <c r="G43" s="25"/>
      <c r="J43" s="26"/>
    </row>
    <row r="44" spans="1:10" hidden="1" x14ac:dyDescent="0.25">
      <c r="A44" s="25"/>
      <c r="B44" s="41"/>
      <c r="C44" s="41">
        <v>0.2</v>
      </c>
      <c r="D44" s="41" t="e">
        <f>((NPV(C44,$G$15:$Q$15)+(#REF!*(1+#REF!)/(C44-#REF!))/(1+C44)^(2040-2020))/$D$50)/$C$51-1</f>
        <v>#REF!</v>
      </c>
      <c r="G44" s="25"/>
      <c r="J44" s="26"/>
    </row>
    <row r="45" spans="1:10" x14ac:dyDescent="0.25">
      <c r="A45" s="25"/>
      <c r="G45" s="25"/>
      <c r="J45" s="26"/>
    </row>
    <row r="46" spans="1:10" ht="16.5" thickBot="1" x14ac:dyDescent="0.3">
      <c r="A46" s="28"/>
      <c r="B46" s="29" t="s">
        <v>23</v>
      </c>
      <c r="C46" s="29"/>
      <c r="D46" s="44">
        <f>I33</f>
        <v>7.9000000000000015E-2</v>
      </c>
      <c r="E46" s="29"/>
      <c r="F46" s="29"/>
      <c r="G46" s="28"/>
      <c r="H46" s="29"/>
      <c r="I46" s="29"/>
      <c r="J46" s="30"/>
    </row>
    <row r="48" spans="1:10" x14ac:dyDescent="0.25">
      <c r="A48" s="16"/>
      <c r="B48" s="17"/>
      <c r="C48" s="85">
        <v>44821</v>
      </c>
      <c r="D48" s="18" t="s">
        <v>3</v>
      </c>
      <c r="E48" s="19"/>
      <c r="F48" s="20"/>
      <c r="G48" s="21"/>
      <c r="H48" s="21"/>
      <c r="I48" s="21"/>
    </row>
    <row r="49" spans="1:17" x14ac:dyDescent="0.25">
      <c r="A49" s="45" t="s">
        <v>0</v>
      </c>
      <c r="B49" s="46" t="s">
        <v>5</v>
      </c>
      <c r="C49" s="56">
        <f>C50*C51</f>
        <v>27691.56</v>
      </c>
      <c r="D49" s="47">
        <f>SUM(G19:Q19)</f>
        <v>23898.805011799879</v>
      </c>
      <c r="E49" s="46" t="s">
        <v>45</v>
      </c>
    </row>
    <row r="50" spans="1:17" x14ac:dyDescent="0.25">
      <c r="A50" s="45"/>
      <c r="B50" s="46" t="s">
        <v>11</v>
      </c>
      <c r="C50" s="56">
        <v>232.8</v>
      </c>
      <c r="D50" s="56">
        <f>C50</f>
        <v>232.8</v>
      </c>
      <c r="E50" s="46"/>
    </row>
    <row r="51" spans="1:17" x14ac:dyDescent="0.25">
      <c r="A51" s="45"/>
      <c r="B51" s="46" t="s">
        <v>13</v>
      </c>
      <c r="C51" s="89">
        <v>118.95</v>
      </c>
      <c r="D51" s="56">
        <f>D49/(D50)</f>
        <v>102.65809712972457</v>
      </c>
      <c r="E51" s="46" t="s">
        <v>45</v>
      </c>
    </row>
    <row r="52" spans="1:17" x14ac:dyDescent="0.25">
      <c r="A52" s="45"/>
      <c r="B52" s="46" t="s">
        <v>2</v>
      </c>
      <c r="C52" s="46"/>
      <c r="D52" s="57">
        <f>IF(C51/D51-1&gt;0,0,C51/D51-1)*-1</f>
        <v>0</v>
      </c>
      <c r="E52" s="46"/>
    </row>
    <row r="53" spans="1:17" x14ac:dyDescent="0.25">
      <c r="A53" s="45"/>
      <c r="B53" s="46" t="s">
        <v>14</v>
      </c>
      <c r="C53" s="46"/>
      <c r="D53" s="58">
        <f>IF(C51/D51-1&lt;0,0,C51/D51-1)</f>
        <v>0.15870061228280963</v>
      </c>
      <c r="E53" s="46"/>
    </row>
    <row r="54" spans="1:17" x14ac:dyDescent="0.25">
      <c r="A54" s="46"/>
      <c r="B54" s="46"/>
      <c r="C54" s="46"/>
      <c r="D54" s="48"/>
      <c r="E54" s="48"/>
    </row>
    <row r="55" spans="1:17" x14ac:dyDescent="0.25">
      <c r="A55" s="48" t="s">
        <v>22</v>
      </c>
      <c r="B55" s="46"/>
      <c r="C55" s="50">
        <f>D46</f>
        <v>7.9000000000000015E-2</v>
      </c>
      <c r="D55" s="49"/>
      <c r="E55" s="46"/>
      <c r="J55" s="72"/>
    </row>
    <row r="56" spans="1:17" x14ac:dyDescent="0.25">
      <c r="A56" s="48"/>
      <c r="B56" s="46"/>
      <c r="C56" s="50"/>
      <c r="D56" s="49"/>
      <c r="E56" s="46"/>
    </row>
    <row r="57" spans="1:17" hidden="1" x14ac:dyDescent="0.25">
      <c r="A57" s="48" t="s">
        <v>25</v>
      </c>
      <c r="B57" s="75">
        <v>0.108</v>
      </c>
      <c r="C57" s="50"/>
      <c r="D57" s="76">
        <f>SUM(H57:Q57)*1000</f>
        <v>15350739.676530842</v>
      </c>
      <c r="E57" s="46"/>
      <c r="F57" s="1" t="s">
        <v>26</v>
      </c>
      <c r="H57" s="1">
        <f>G15/(1+$B$57)</f>
        <v>1024.748420577617</v>
      </c>
      <c r="I57" s="1">
        <f>H15/(1+$B$57)^2</f>
        <v>992.7983927198319</v>
      </c>
      <c r="J57" s="1">
        <f>I15/(1+$B$57)^3</f>
        <v>990.50160430895289</v>
      </c>
      <c r="K57" s="1">
        <f>J15/(1+$B$57)^4</f>
        <v>911.67131556588174</v>
      </c>
      <c r="L57" s="1">
        <f>K15/(1+$B$57)^5</f>
        <v>883.89827888387424</v>
      </c>
      <c r="M57" s="1">
        <f>L15/(1+$B$57)^6</f>
        <v>856.9579280941316</v>
      </c>
      <c r="N57" s="1">
        <f>M15/(1+$B$57)^7</f>
        <v>818.49360084035413</v>
      </c>
      <c r="O57" s="1">
        <f>N15/(1+$B$57)^8</f>
        <v>781.70802003769404</v>
      </c>
      <c r="P57" s="1">
        <f>O15/(1+$B$57)^9</f>
        <v>732.31119611456666</v>
      </c>
      <c r="Q57" s="1">
        <f>(Q15/(B57-Q12))/(1+B57)^10</f>
        <v>7357.6509193879383</v>
      </c>
    </row>
    <row r="58" spans="1:17" ht="16.5" thickBot="1" x14ac:dyDescent="0.3">
      <c r="A58" s="22"/>
      <c r="C58" s="67"/>
      <c r="D58" s="68"/>
    </row>
    <row r="59" spans="1:17" x14ac:dyDescent="0.25">
      <c r="A59" s="59" t="s">
        <v>43</v>
      </c>
      <c r="B59" s="23"/>
      <c r="C59" s="69">
        <v>17</v>
      </c>
      <c r="D59" s="23"/>
      <c r="E59" s="24"/>
    </row>
    <row r="60" spans="1:17" x14ac:dyDescent="0.25">
      <c r="A60" s="25" t="s">
        <v>24</v>
      </c>
      <c r="C60" s="70"/>
      <c r="E60" s="26"/>
    </row>
    <row r="61" spans="1:17" x14ac:dyDescent="0.25">
      <c r="A61" s="25"/>
      <c r="C61" s="70"/>
      <c r="E61" s="26"/>
    </row>
    <row r="62" spans="1:17" x14ac:dyDescent="0.25">
      <c r="A62" s="25" t="s">
        <v>40</v>
      </c>
      <c r="C62" s="70"/>
      <c r="E62" s="60">
        <f>P17*C59</f>
        <v>138.5256640339839</v>
      </c>
    </row>
    <row r="63" spans="1:17" x14ac:dyDescent="0.25">
      <c r="A63" s="25"/>
      <c r="C63" s="70"/>
      <c r="E63" s="26"/>
    </row>
    <row r="64" spans="1:17" x14ac:dyDescent="0.25">
      <c r="A64" s="25" t="s">
        <v>17</v>
      </c>
      <c r="C64" s="71">
        <v>0.15</v>
      </c>
      <c r="E64" s="26"/>
    </row>
    <row r="65" spans="1:5" x14ac:dyDescent="0.25">
      <c r="A65" s="25"/>
      <c r="E65" s="26"/>
    </row>
    <row r="66" spans="1:5" x14ac:dyDescent="0.25">
      <c r="A66" s="25" t="s">
        <v>18</v>
      </c>
      <c r="E66" s="60">
        <f>SUM(G17:Q17)*C64</f>
        <v>9.9164782225851322</v>
      </c>
    </row>
    <row r="67" spans="1:5" x14ac:dyDescent="0.25">
      <c r="A67" s="25"/>
      <c r="E67" s="61"/>
    </row>
    <row r="68" spans="1:5" x14ac:dyDescent="0.25">
      <c r="A68" s="62" t="s">
        <v>46</v>
      </c>
      <c r="E68" s="63">
        <f>(E66*0.25)*-1</f>
        <v>-2.4791195556462831</v>
      </c>
    </row>
    <row r="69" spans="1:5" x14ac:dyDescent="0.25">
      <c r="A69" s="25"/>
      <c r="C69" s="41"/>
      <c r="D69" s="41"/>
      <c r="E69" s="64"/>
    </row>
    <row r="70" spans="1:5" x14ac:dyDescent="0.25">
      <c r="A70" s="25" t="s">
        <v>19</v>
      </c>
      <c r="E70" s="60">
        <f>SUM(E62:E68)</f>
        <v>145.96302270092275</v>
      </c>
    </row>
    <row r="71" spans="1:5" x14ac:dyDescent="0.25">
      <c r="A71" s="25"/>
      <c r="E71" s="60"/>
    </row>
    <row r="72" spans="1:5" x14ac:dyDescent="0.25">
      <c r="A72" s="25" t="s">
        <v>20</v>
      </c>
      <c r="E72" s="64">
        <f>E70/C51-1</f>
        <v>0.2270956090872025</v>
      </c>
    </row>
    <row r="73" spans="1:5" x14ac:dyDescent="0.25">
      <c r="A73" s="25"/>
      <c r="E73" s="26"/>
    </row>
    <row r="74" spans="1:5" ht="16.5" thickBot="1" x14ac:dyDescent="0.3">
      <c r="A74" s="65" t="s">
        <v>21</v>
      </c>
      <c r="B74" s="66"/>
      <c r="C74" s="66"/>
      <c r="D74" s="66"/>
      <c r="E74" s="104">
        <f>(E70/C51)^(1/10)-1</f>
        <v>2.0675852507515691E-2</v>
      </c>
    </row>
  </sheetData>
  <conditionalFormatting sqref="L6:L8">
    <cfRule type="top10" dxfId="7" priority="6" percent="1" rank="10"/>
  </conditionalFormatting>
  <conditionalFormatting sqref="G6:J8">
    <cfRule type="top10" dxfId="6" priority="5" percent="1" rank="10"/>
  </conditionalFormatting>
  <conditionalFormatting sqref="K9">
    <cfRule type="top10" dxfId="5" priority="4" percent="1" rank="10"/>
  </conditionalFormatting>
  <conditionalFormatting sqref="L2:L5">
    <cfRule type="top10" dxfId="4" priority="3" percent="1" rank="10"/>
  </conditionalFormatting>
  <conditionalFormatting sqref="C32">
    <cfRule type="colorScale" priority="2">
      <colorScale>
        <cfvo type="num" val="0"/>
        <cfvo type="percentile" val="7.0000000000000007E-2"/>
        <cfvo type="num" val="0.15"/>
        <color rgb="FFFFE1E2"/>
        <color rgb="FFFFFAE0"/>
        <color rgb="FF9CF5DC"/>
      </colorScale>
    </cfRule>
  </conditionalFormatting>
  <conditionalFormatting sqref="D40:D44">
    <cfRule type="colorScale" priority="1">
      <colorScale>
        <cfvo type="min"/>
        <cfvo type="num" val="0"/>
        <cfvo type="max"/>
        <color rgb="FFFFE1E2"/>
        <color rgb="FFFFFAE0"/>
        <color rgb="FF9CF5DC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B34D-A856-4E94-9389-3AD72615DA53}">
  <dimension ref="A2:AB74"/>
  <sheetViews>
    <sheetView zoomScaleNormal="100" workbookViewId="0">
      <selection activeCell="C49" sqref="C49"/>
    </sheetView>
  </sheetViews>
  <sheetFormatPr baseColWidth="10" defaultColWidth="10.625" defaultRowHeight="15.75" x14ac:dyDescent="0.25"/>
  <cols>
    <col min="1" max="1" width="27.125" style="1" bestFit="1" customWidth="1"/>
    <col min="2" max="2" width="32.375" style="1" customWidth="1"/>
    <col min="3" max="3" width="16" style="1" bestFit="1" customWidth="1"/>
    <col min="4" max="4" width="16.125" style="1" customWidth="1"/>
    <col min="5" max="5" width="14.125" style="1" customWidth="1"/>
    <col min="6" max="6" width="13.625" style="1" customWidth="1"/>
    <col min="7" max="7" width="14.875" style="1" customWidth="1"/>
    <col min="8" max="8" width="12.125" style="1" customWidth="1"/>
    <col min="9" max="9" width="12.375" style="1" bestFit="1" customWidth="1"/>
    <col min="10" max="16" width="13.375" style="1" bestFit="1" customWidth="1"/>
    <col min="17" max="18" width="10.625" style="1" customWidth="1"/>
    <col min="19" max="16384" width="10.625" style="1"/>
  </cols>
  <sheetData>
    <row r="2" spans="1:28" ht="26.25" x14ac:dyDescent="0.4">
      <c r="B2" s="31" t="s">
        <v>10</v>
      </c>
    </row>
    <row r="4" spans="1:28" x14ac:dyDescent="0.25">
      <c r="B4" s="22" t="s">
        <v>47</v>
      </c>
    </row>
    <row r="6" spans="1:28" x14ac:dyDescent="0.25">
      <c r="B6" s="1" t="s">
        <v>36</v>
      </c>
    </row>
    <row r="9" spans="1:28" s="8" customFormat="1" x14ac:dyDescent="0.25">
      <c r="G9" s="9" t="s">
        <v>9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4"/>
      <c r="B10" s="4"/>
      <c r="C10" s="11">
        <v>2018</v>
      </c>
      <c r="D10" s="11">
        <v>2019</v>
      </c>
      <c r="E10" s="11">
        <v>2020</v>
      </c>
      <c r="F10" s="11">
        <v>2021</v>
      </c>
      <c r="G10" s="55">
        <v>2022</v>
      </c>
      <c r="H10" s="55">
        <v>2023</v>
      </c>
      <c r="I10" s="55">
        <v>2024</v>
      </c>
      <c r="J10" s="55">
        <v>2025</v>
      </c>
      <c r="K10" s="55">
        <v>2026</v>
      </c>
      <c r="L10" s="55">
        <v>2027</v>
      </c>
      <c r="M10" s="55">
        <v>2028</v>
      </c>
      <c r="N10" s="55">
        <v>2029</v>
      </c>
      <c r="O10" s="55">
        <v>2030</v>
      </c>
      <c r="P10" s="55">
        <v>2031</v>
      </c>
      <c r="Q10" s="55" t="s">
        <v>48</v>
      </c>
    </row>
    <row r="11" spans="1:28" x14ac:dyDescent="0.25">
      <c r="A11" s="5"/>
      <c r="B11" s="4" t="s">
        <v>4</v>
      </c>
      <c r="C11" s="84">
        <v>4845.87</v>
      </c>
      <c r="D11" s="84">
        <v>5158.5600000000004</v>
      </c>
      <c r="E11" s="84">
        <v>4540.03</v>
      </c>
      <c r="F11" s="84">
        <v>5546.41</v>
      </c>
      <c r="G11" s="74">
        <v>6055.58</v>
      </c>
      <c r="H11" s="74">
        <v>6341.43</v>
      </c>
      <c r="I11" s="74">
        <v>6794.41</v>
      </c>
      <c r="J11" s="74">
        <f>I11*(1+J12)</f>
        <v>7405.9069</v>
      </c>
      <c r="K11" s="74">
        <f t="shared" ref="K11:Q11" si="0">J11*(1+K12)</f>
        <v>8146.4975900000009</v>
      </c>
      <c r="L11" s="74">
        <f t="shared" si="0"/>
        <v>8879.6823731000022</v>
      </c>
      <c r="M11" s="74">
        <f t="shared" si="0"/>
        <v>9590.0569629480033</v>
      </c>
      <c r="N11" s="74">
        <f t="shared" si="0"/>
        <v>10261.360950354365</v>
      </c>
      <c r="O11" s="74">
        <f t="shared" si="0"/>
        <v>10877.042607375628</v>
      </c>
      <c r="P11" s="74">
        <f t="shared" si="0"/>
        <v>11420.894737744409</v>
      </c>
      <c r="Q11" s="74">
        <f t="shared" si="0"/>
        <v>11649.312632499297</v>
      </c>
    </row>
    <row r="12" spans="1:28" x14ac:dyDescent="0.25">
      <c r="A12" s="5"/>
      <c r="B12" s="4" t="s">
        <v>1</v>
      </c>
      <c r="C12" s="88"/>
      <c r="D12" s="91">
        <f t="shared" ref="D12" si="1">D11/C11-1</f>
        <v>6.4527112778510531E-2</v>
      </c>
      <c r="E12" s="91">
        <f t="shared" ref="E12" si="2">E11/D11-1</f>
        <v>-0.11990361651313552</v>
      </c>
      <c r="F12" s="91">
        <f t="shared" ref="F12" si="3">F11/E11-1</f>
        <v>0.22166813875679248</v>
      </c>
      <c r="G12" s="87">
        <f t="shared" ref="G12" si="4">G11/F11-1</f>
        <v>9.1801723998045537E-2</v>
      </c>
      <c r="H12" s="87">
        <f t="shared" ref="H12:I12" si="5">H11/G11-1</f>
        <v>4.7204396606105536E-2</v>
      </c>
      <c r="I12" s="87">
        <f t="shared" si="5"/>
        <v>7.1431837929299746E-2</v>
      </c>
      <c r="J12" s="87">
        <v>0.09</v>
      </c>
      <c r="K12" s="87">
        <v>0.1</v>
      </c>
      <c r="L12" s="87">
        <v>0.09</v>
      </c>
      <c r="M12" s="87">
        <v>0.08</v>
      </c>
      <c r="N12" s="87">
        <v>7.0000000000000007E-2</v>
      </c>
      <c r="O12" s="87">
        <v>0.06</v>
      </c>
      <c r="P12" s="87">
        <v>0.05</v>
      </c>
      <c r="Q12" s="87">
        <v>0.02</v>
      </c>
    </row>
    <row r="13" spans="1:28" ht="15.95" customHeight="1" x14ac:dyDescent="0.25">
      <c r="A13" s="5"/>
      <c r="B13" s="4" t="s">
        <v>15</v>
      </c>
      <c r="C13" s="90">
        <v>0.22189999999999999</v>
      </c>
      <c r="D13" s="90">
        <v>0.22819999999999999</v>
      </c>
      <c r="E13" s="90">
        <v>0.2361</v>
      </c>
      <c r="F13" s="90">
        <v>0.2359</v>
      </c>
      <c r="G13" s="86">
        <v>0.24349999999999999</v>
      </c>
      <c r="H13" s="86">
        <v>0.2487</v>
      </c>
      <c r="I13" s="86">
        <v>0.25109999999999999</v>
      </c>
      <c r="J13" s="86">
        <v>0.26</v>
      </c>
      <c r="K13" s="86">
        <v>0.27</v>
      </c>
      <c r="L13" s="86">
        <v>0.28000000000000003</v>
      </c>
      <c r="M13" s="86">
        <v>0.28999999999999998</v>
      </c>
      <c r="N13" s="86">
        <v>0.28999999999999998</v>
      </c>
      <c r="O13" s="86">
        <v>0.3</v>
      </c>
      <c r="P13" s="86">
        <v>0.3</v>
      </c>
      <c r="Q13" s="86">
        <v>0.3</v>
      </c>
    </row>
    <row r="14" spans="1:28" ht="17.100000000000001" customHeight="1" x14ac:dyDescent="0.25">
      <c r="A14" s="5"/>
      <c r="B14" s="4" t="s">
        <v>16</v>
      </c>
      <c r="C14" s="84">
        <f>C11*C13</f>
        <v>1075.2985529999999</v>
      </c>
      <c r="D14" s="84">
        <f t="shared" ref="D14:J14" si="6">D11*D13</f>
        <v>1177.1833919999999</v>
      </c>
      <c r="E14" s="84">
        <f t="shared" si="6"/>
        <v>1071.901083</v>
      </c>
      <c r="F14" s="84">
        <f t="shared" si="6"/>
        <v>1308.398119</v>
      </c>
      <c r="G14" s="74">
        <f t="shared" si="6"/>
        <v>1474.5337299999999</v>
      </c>
      <c r="H14" s="74">
        <f t="shared" si="6"/>
        <v>1577.1136410000001</v>
      </c>
      <c r="I14" s="74">
        <f t="shared" si="6"/>
        <v>1706.0763509999999</v>
      </c>
      <c r="J14" s="74">
        <f t="shared" si="6"/>
        <v>1925.5357940000001</v>
      </c>
      <c r="K14" s="74">
        <f t="shared" ref="K14:Q14" si="7">K11*K13</f>
        <v>2199.5543493000005</v>
      </c>
      <c r="L14" s="74">
        <f t="shared" si="7"/>
        <v>2486.311064468001</v>
      </c>
      <c r="M14" s="74">
        <f t="shared" si="7"/>
        <v>2781.1165192549206</v>
      </c>
      <c r="N14" s="74">
        <f t="shared" si="7"/>
        <v>2975.7946756027654</v>
      </c>
      <c r="O14" s="74">
        <f>O11*O13</f>
        <v>3263.1127822126882</v>
      </c>
      <c r="P14" s="74">
        <f t="shared" si="7"/>
        <v>3426.2684213233229</v>
      </c>
      <c r="Q14" s="74">
        <f t="shared" si="7"/>
        <v>3494.7937897497891</v>
      </c>
    </row>
    <row r="15" spans="1:28" x14ac:dyDescent="0.25">
      <c r="A15" s="102">
        <v>0.25</v>
      </c>
      <c r="B15" s="4" t="s">
        <v>42</v>
      </c>
      <c r="C15" s="84">
        <v>777.76213500000006</v>
      </c>
      <c r="D15" s="84">
        <v>861.47952000000009</v>
      </c>
      <c r="E15" s="84">
        <v>872.59376599999996</v>
      </c>
      <c r="F15" s="84">
        <v>990.03418499999998</v>
      </c>
      <c r="G15" s="74">
        <v>1135.4212499999999</v>
      </c>
      <c r="H15" s="74">
        <v>1218.822846</v>
      </c>
      <c r="I15" s="74">
        <v>1347.3315030000001</v>
      </c>
      <c r="J15" s="74">
        <f t="shared" ref="J15:Q15" si="8">J14*(1-$A$15)</f>
        <v>1444.1518455</v>
      </c>
      <c r="K15" s="74">
        <f t="shared" si="8"/>
        <v>1649.6657619750004</v>
      </c>
      <c r="L15" s="74">
        <f t="shared" si="8"/>
        <v>1864.7332983510007</v>
      </c>
      <c r="M15" s="74">
        <f t="shared" si="8"/>
        <v>2085.8373894411907</v>
      </c>
      <c r="N15" s="74">
        <f t="shared" si="8"/>
        <v>2231.8460067020742</v>
      </c>
      <c r="O15" s="74">
        <f>O14*(1-$A$15)</f>
        <v>2447.3345866595164</v>
      </c>
      <c r="P15" s="74">
        <f t="shared" si="8"/>
        <v>2569.7013159924923</v>
      </c>
      <c r="Q15" s="74">
        <f t="shared" si="8"/>
        <v>2621.0953423123419</v>
      </c>
    </row>
    <row r="16" spans="1:28" ht="32.25" hidden="1" thickBot="1" x14ac:dyDescent="0.3">
      <c r="A16" s="13" t="s">
        <v>6</v>
      </c>
      <c r="B16" s="14"/>
      <c r="C16" s="15">
        <f t="shared" ref="C16:J16" si="9">C15/C14</f>
        <v>0.72329878323569186</v>
      </c>
      <c r="D16" s="15">
        <f t="shared" si="9"/>
        <v>0.73181419807186687</v>
      </c>
      <c r="E16" s="15">
        <f t="shared" si="9"/>
        <v>0.81406183820415079</v>
      </c>
      <c r="F16" s="15">
        <f t="shared" si="9"/>
        <v>0.75667655786350152</v>
      </c>
      <c r="G16" s="15">
        <f t="shared" si="9"/>
        <v>0.77002053388090341</v>
      </c>
      <c r="H16" s="15">
        <f t="shared" si="9"/>
        <v>0.77281865701648567</v>
      </c>
      <c r="I16" s="15">
        <f t="shared" si="9"/>
        <v>0.78972520908004784</v>
      </c>
      <c r="J16" s="15">
        <f t="shared" si="9"/>
        <v>0.75</v>
      </c>
    </row>
    <row r="17" spans="1:18" x14ac:dyDescent="0.25">
      <c r="A17" s="2" t="s">
        <v>39</v>
      </c>
      <c r="C17" s="84"/>
      <c r="D17" s="84"/>
      <c r="E17" s="84"/>
      <c r="F17" s="84"/>
      <c r="G17" s="74">
        <f>G15/G18</f>
        <v>4.8772390463917521</v>
      </c>
      <c r="H17" s="74">
        <f t="shared" ref="H17:O17" si="10">H15/H18</f>
        <v>5.2486148618970105</v>
      </c>
      <c r="I17" s="74">
        <f t="shared" si="10"/>
        <v>5.8165528670654751</v>
      </c>
      <c r="J17" s="74">
        <f t="shared" si="10"/>
        <v>6.2501605091638153</v>
      </c>
      <c r="K17" s="74">
        <f t="shared" si="10"/>
        <v>7.1575001782211434</v>
      </c>
      <c r="L17" s="74">
        <f t="shared" si="10"/>
        <v>8.1109033858464432</v>
      </c>
      <c r="M17" s="74">
        <f t="shared" si="10"/>
        <v>9.0953631952993401</v>
      </c>
      <c r="N17" s="74">
        <f t="shared" si="10"/>
        <v>9.7564296932033017</v>
      </c>
      <c r="O17" s="74">
        <f t="shared" si="10"/>
        <v>10.72524290878455</v>
      </c>
      <c r="P17" s="74">
        <f>P15/P18</f>
        <v>11.289729377667946</v>
      </c>
      <c r="Q17" s="74"/>
    </row>
    <row r="18" spans="1:18" ht="32.25" thickBot="1" x14ac:dyDescent="0.3">
      <c r="A18" s="2" t="s">
        <v>41</v>
      </c>
      <c r="C18" s="84"/>
      <c r="D18" s="84"/>
      <c r="E18" s="84"/>
      <c r="F18" s="84"/>
      <c r="G18" s="74">
        <f>C50</f>
        <v>232.8</v>
      </c>
      <c r="H18" s="74">
        <f>G18*0.9975</f>
        <v>232.21800000000002</v>
      </c>
      <c r="I18" s="74">
        <f t="shared" ref="I18:P18" si="11">H18*0.9975</f>
        <v>231.63745500000002</v>
      </c>
      <c r="J18" s="74">
        <f t="shared" si="11"/>
        <v>231.05836136250002</v>
      </c>
      <c r="K18" s="74">
        <f t="shared" si="11"/>
        <v>230.48071545909377</v>
      </c>
      <c r="L18" s="74">
        <f t="shared" si="11"/>
        <v>229.90451367044605</v>
      </c>
      <c r="M18" s="74">
        <f t="shared" si="11"/>
        <v>229.32975238626994</v>
      </c>
      <c r="N18" s="74">
        <f t="shared" si="11"/>
        <v>228.75642800530429</v>
      </c>
      <c r="O18" s="74">
        <f t="shared" si="11"/>
        <v>228.18453693529105</v>
      </c>
      <c r="P18" s="74">
        <f t="shared" si="11"/>
        <v>227.61407559295284</v>
      </c>
      <c r="Q18" s="74"/>
    </row>
    <row r="19" spans="1:18" ht="16.5" thickBot="1" x14ac:dyDescent="0.3">
      <c r="A19" s="2"/>
      <c r="E19" s="51" t="s">
        <v>12</v>
      </c>
      <c r="F19" s="52"/>
      <c r="G19" s="53">
        <f>G15/(1+$C$55)</f>
        <v>1052.29031510658</v>
      </c>
      <c r="H19" s="53">
        <f>H15/(1+$C$55)^2</f>
        <v>1046.8819136244131</v>
      </c>
      <c r="I19" s="53">
        <f>I15/(1+$C$55)^3</f>
        <v>1072.5316833818902</v>
      </c>
      <c r="J19" s="53">
        <f>J15/(1+$C$55)^4</f>
        <v>1065.4352978202617</v>
      </c>
      <c r="K19" s="53">
        <f>K15/(1+$C$55)^5</f>
        <v>1127.9471143245805</v>
      </c>
      <c r="L19" s="53">
        <f>L15/(1+$C$55)^6</f>
        <v>1181.6478196267535</v>
      </c>
      <c r="M19" s="53">
        <f>M15/(1+$C$55)^7</f>
        <v>1224.9837717036248</v>
      </c>
      <c r="N19" s="53">
        <f>N15/(1+$C$55)^8</f>
        <v>1214.7661128108236</v>
      </c>
      <c r="O19" s="53">
        <f>O15/(1+$C$55)^9</f>
        <v>1234.5262978934584</v>
      </c>
      <c r="P19" s="53">
        <f>P15/(1+$C$55)^10</f>
        <v>1201.346258376396</v>
      </c>
      <c r="Q19" s="54">
        <f>(Q15/(C55-Q12))/(1+C55)^10</f>
        <v>20769.037009219046</v>
      </c>
    </row>
    <row r="20" spans="1:18" x14ac:dyDescent="0.25">
      <c r="A20" s="2"/>
      <c r="C20" s="77"/>
      <c r="D20" s="42"/>
      <c r="G20" s="6"/>
      <c r="H20" s="7"/>
      <c r="I20" s="6"/>
      <c r="J20" s="6"/>
      <c r="K20" s="6"/>
      <c r="L20" s="6"/>
      <c r="M20" s="6"/>
      <c r="N20" s="6"/>
      <c r="O20" s="6"/>
      <c r="P20" s="3"/>
      <c r="Q20" s="3"/>
      <c r="R20" s="3"/>
    </row>
    <row r="21" spans="1:18" x14ac:dyDescent="0.25">
      <c r="A21" s="2"/>
      <c r="J21" s="103"/>
      <c r="K21" s="103"/>
      <c r="L21" s="103"/>
      <c r="M21" s="103"/>
      <c r="N21" s="103"/>
      <c r="O21" s="103"/>
      <c r="P21" s="103"/>
      <c r="Q21" s="103"/>
      <c r="R21" s="3"/>
    </row>
    <row r="22" spans="1:18" ht="16.5" thickBot="1" x14ac:dyDescent="0.3">
      <c r="P22" s="3"/>
      <c r="Q22" s="3"/>
      <c r="R22" s="3"/>
    </row>
    <row r="23" spans="1:18" x14ac:dyDescent="0.25">
      <c r="A23" s="32" t="s">
        <v>27</v>
      </c>
      <c r="B23" s="33"/>
      <c r="C23" s="33"/>
      <c r="D23" s="34"/>
      <c r="E23" s="23"/>
      <c r="F23" s="33"/>
      <c r="G23" s="59" t="s">
        <v>28</v>
      </c>
      <c r="H23" s="23"/>
      <c r="I23" s="80">
        <v>2.5000000000000001E-2</v>
      </c>
      <c r="J23" s="24" t="s">
        <v>29</v>
      </c>
    </row>
    <row r="24" spans="1:18" x14ac:dyDescent="0.25">
      <c r="A24" s="35"/>
      <c r="B24" s="36"/>
      <c r="C24" s="36"/>
      <c r="D24" s="37"/>
      <c r="E24" s="36"/>
      <c r="F24" s="36"/>
      <c r="G24" s="25"/>
      <c r="I24" s="81"/>
      <c r="J24" s="26"/>
    </row>
    <row r="25" spans="1:18" x14ac:dyDescent="0.25">
      <c r="A25" s="35"/>
      <c r="B25" s="36"/>
      <c r="C25" s="36"/>
      <c r="D25" s="38"/>
      <c r="F25" s="36"/>
      <c r="G25" s="25" t="s">
        <v>30</v>
      </c>
      <c r="I25" s="82">
        <f>(I27-I23)*I29</f>
        <v>5.4000000000000006E-2</v>
      </c>
      <c r="J25" s="26"/>
    </row>
    <row r="26" spans="1:18" x14ac:dyDescent="0.25">
      <c r="A26" s="35"/>
      <c r="B26" s="36"/>
      <c r="C26" s="36"/>
      <c r="D26" s="38"/>
      <c r="F26" s="36"/>
      <c r="G26" s="25"/>
      <c r="I26" s="81"/>
      <c r="J26" s="26"/>
    </row>
    <row r="27" spans="1:18" x14ac:dyDescent="0.25">
      <c r="A27" s="35"/>
      <c r="B27" s="36"/>
      <c r="C27" s="36"/>
      <c r="D27" s="38"/>
      <c r="F27" s="36"/>
      <c r="G27" s="25" t="s">
        <v>31</v>
      </c>
      <c r="I27" s="83">
        <v>7.0000000000000007E-2</v>
      </c>
      <c r="J27" s="26" t="s">
        <v>32</v>
      </c>
    </row>
    <row r="28" spans="1:18" x14ac:dyDescent="0.25">
      <c r="A28" s="35"/>
      <c r="B28" s="36"/>
      <c r="C28" s="36"/>
      <c r="D28" s="39"/>
      <c r="F28" s="36"/>
      <c r="G28" s="25"/>
      <c r="I28" s="81"/>
      <c r="J28" s="26"/>
    </row>
    <row r="29" spans="1:18" x14ac:dyDescent="0.25">
      <c r="A29" s="35"/>
      <c r="B29" s="36"/>
      <c r="C29" s="36"/>
      <c r="D29" s="39"/>
      <c r="F29" s="36"/>
      <c r="G29" s="25" t="s">
        <v>38</v>
      </c>
      <c r="I29" s="81">
        <v>1.2</v>
      </c>
      <c r="J29" s="26" t="s">
        <v>33</v>
      </c>
    </row>
    <row r="30" spans="1:18" x14ac:dyDescent="0.25">
      <c r="A30" s="35"/>
      <c r="B30" s="36"/>
      <c r="C30" s="36"/>
      <c r="D30" s="40"/>
      <c r="F30" s="36"/>
      <c r="G30" s="25"/>
      <c r="I30" s="81"/>
      <c r="J30" s="26"/>
    </row>
    <row r="31" spans="1:18" x14ac:dyDescent="0.25">
      <c r="A31" s="35"/>
      <c r="B31" s="36"/>
      <c r="C31" s="36"/>
      <c r="D31" s="37"/>
      <c r="F31" s="36"/>
      <c r="G31" s="25" t="s">
        <v>34</v>
      </c>
      <c r="I31" s="83">
        <f>I23+(I27-I23)*I29</f>
        <v>7.9000000000000015E-2</v>
      </c>
      <c r="J31" s="26" t="s">
        <v>35</v>
      </c>
    </row>
    <row r="32" spans="1:18" x14ac:dyDescent="0.25">
      <c r="A32" s="25"/>
      <c r="C32" s="41"/>
      <c r="E32" s="36"/>
      <c r="F32" s="36"/>
      <c r="G32" s="25"/>
      <c r="J32" s="26"/>
    </row>
    <row r="33" spans="1:10" x14ac:dyDescent="0.25">
      <c r="A33" s="25"/>
      <c r="G33" s="78" t="s">
        <v>37</v>
      </c>
      <c r="H33" s="22"/>
      <c r="I33" s="79">
        <f>I31</f>
        <v>7.9000000000000015E-2</v>
      </c>
      <c r="J33" s="26"/>
    </row>
    <row r="34" spans="1:10" x14ac:dyDescent="0.25">
      <c r="A34" s="35" t="s">
        <v>7</v>
      </c>
      <c r="B34" s="36"/>
      <c r="C34" s="42"/>
      <c r="D34" s="27"/>
      <c r="G34" s="25"/>
      <c r="J34" s="26"/>
    </row>
    <row r="35" spans="1:10" ht="15.75" hidden="1" customHeight="1" x14ac:dyDescent="0.25">
      <c r="A35" s="25"/>
      <c r="G35" s="25"/>
      <c r="J35" s="26"/>
    </row>
    <row r="36" spans="1:10" ht="15.75" hidden="1" customHeight="1" x14ac:dyDescent="0.25">
      <c r="A36" s="25"/>
      <c r="B36" s="1" t="s">
        <v>8</v>
      </c>
      <c r="D36" s="43">
        <v>0.08</v>
      </c>
      <c r="G36" s="25"/>
      <c r="J36" s="26"/>
    </row>
    <row r="37" spans="1:10" ht="15.75" hidden="1" customHeight="1" x14ac:dyDescent="0.25">
      <c r="A37" s="25"/>
      <c r="G37" s="25"/>
      <c r="J37" s="26"/>
    </row>
    <row r="38" spans="1:10" ht="15.75" hidden="1" customHeight="1" x14ac:dyDescent="0.25">
      <c r="A38" s="25"/>
      <c r="G38" s="25"/>
      <c r="J38" s="26"/>
    </row>
    <row r="39" spans="1:10" ht="15.75" hidden="1" customHeight="1" x14ac:dyDescent="0.25">
      <c r="A39" s="25"/>
      <c r="G39" s="25"/>
      <c r="J39" s="26"/>
    </row>
    <row r="40" spans="1:10" hidden="1" x14ac:dyDescent="0.25">
      <c r="A40" s="25"/>
      <c r="B40" s="41"/>
      <c r="C40" s="41">
        <v>0.12</v>
      </c>
      <c r="D40" s="41" t="e">
        <f>((NPV(C40,$G$15:$Q$15)+(#REF!*(1+#REF!)/(C40-#REF!))/(1+C40)^(2040-2020))/$D$50)/$C$51-1</f>
        <v>#REF!</v>
      </c>
      <c r="G40" s="25"/>
      <c r="J40" s="26"/>
    </row>
    <row r="41" spans="1:10" hidden="1" x14ac:dyDescent="0.25">
      <c r="A41" s="25"/>
      <c r="B41" s="41"/>
      <c r="C41" s="41">
        <v>0.14000000000000001</v>
      </c>
      <c r="D41" s="41" t="e">
        <f>((NPV(C41,$G$15:$Q$15)+(#REF!*(1+#REF!)/(C41-#REF!))/(1+C41)^(2040-2020))/$D$50)/$C$51-1</f>
        <v>#REF!</v>
      </c>
      <c r="G41" s="25"/>
      <c r="J41" s="26"/>
    </row>
    <row r="42" spans="1:10" hidden="1" x14ac:dyDescent="0.25">
      <c r="A42" s="25"/>
      <c r="B42" s="41"/>
      <c r="C42" s="41">
        <v>0.16</v>
      </c>
      <c r="D42" s="41" t="e">
        <f>((NPV(C42,$G$15:$Q$15)+(#REF!*(1+#REF!)/(C42-#REF!))/(1+C42)^(2040-2020))/$D$50)/$C$51-1</f>
        <v>#REF!</v>
      </c>
      <c r="G42" s="25"/>
      <c r="J42" s="26"/>
    </row>
    <row r="43" spans="1:10" hidden="1" x14ac:dyDescent="0.25">
      <c r="A43" s="25"/>
      <c r="B43" s="41"/>
      <c r="C43" s="41">
        <v>0.18</v>
      </c>
      <c r="D43" s="41" t="e">
        <f>((NPV(C43,$G$15:$Q$15)+(#REF!*(1+#REF!)/(C43-#REF!))/(1+C43)^(2040-2020))/$D$50)/$C$51-1</f>
        <v>#REF!</v>
      </c>
      <c r="G43" s="25"/>
      <c r="J43" s="26"/>
    </row>
    <row r="44" spans="1:10" hidden="1" x14ac:dyDescent="0.25">
      <c r="A44" s="25"/>
      <c r="B44" s="41"/>
      <c r="C44" s="41">
        <v>0.2</v>
      </c>
      <c r="D44" s="41" t="e">
        <f>((NPV(C44,$G$15:$Q$15)+(#REF!*(1+#REF!)/(C44-#REF!))/(1+C44)^(2040-2020))/$D$50)/$C$51-1</f>
        <v>#REF!</v>
      </c>
      <c r="G44" s="25"/>
      <c r="J44" s="26"/>
    </row>
    <row r="45" spans="1:10" x14ac:dyDescent="0.25">
      <c r="A45" s="25"/>
      <c r="G45" s="25"/>
      <c r="J45" s="26"/>
    </row>
    <row r="46" spans="1:10" ht="16.5" thickBot="1" x14ac:dyDescent="0.3">
      <c r="A46" s="28"/>
      <c r="B46" s="29" t="s">
        <v>23</v>
      </c>
      <c r="C46" s="29"/>
      <c r="D46" s="44">
        <f>I33</f>
        <v>7.9000000000000015E-2</v>
      </c>
      <c r="E46" s="29"/>
      <c r="F46" s="29"/>
      <c r="G46" s="28"/>
      <c r="H46" s="29"/>
      <c r="I46" s="29"/>
      <c r="J46" s="30"/>
    </row>
    <row r="48" spans="1:10" x14ac:dyDescent="0.25">
      <c r="A48" s="16"/>
      <c r="B48" s="17"/>
      <c r="C48" s="85">
        <v>44821</v>
      </c>
      <c r="D48" s="18" t="s">
        <v>3</v>
      </c>
      <c r="E48" s="19"/>
      <c r="F48" s="20"/>
      <c r="G48" s="21"/>
      <c r="H48" s="21"/>
      <c r="I48" s="21"/>
    </row>
    <row r="49" spans="1:17" x14ac:dyDescent="0.25">
      <c r="A49" s="45" t="s">
        <v>0</v>
      </c>
      <c r="B49" s="46" t="s">
        <v>5</v>
      </c>
      <c r="C49" s="56">
        <f>C50*C51</f>
        <v>27691.56</v>
      </c>
      <c r="D49" s="47">
        <f>SUM(G19:Q19)</f>
        <v>32191.393593887828</v>
      </c>
      <c r="E49" s="46" t="s">
        <v>45</v>
      </c>
    </row>
    <row r="50" spans="1:17" x14ac:dyDescent="0.25">
      <c r="A50" s="45"/>
      <c r="B50" s="46" t="s">
        <v>11</v>
      </c>
      <c r="C50" s="56">
        <v>232.8</v>
      </c>
      <c r="D50" s="56">
        <f>C50</f>
        <v>232.8</v>
      </c>
      <c r="E50" s="46"/>
    </row>
    <row r="51" spans="1:17" x14ac:dyDescent="0.25">
      <c r="A51" s="45"/>
      <c r="B51" s="46" t="s">
        <v>13</v>
      </c>
      <c r="C51" s="89">
        <v>118.95</v>
      </c>
      <c r="D51" s="56">
        <f>D49/(D50)</f>
        <v>138.27918210432915</v>
      </c>
      <c r="E51" s="46" t="s">
        <v>45</v>
      </c>
    </row>
    <row r="52" spans="1:17" x14ac:dyDescent="0.25">
      <c r="A52" s="45"/>
      <c r="B52" s="46" t="s">
        <v>2</v>
      </c>
      <c r="C52" s="46"/>
      <c r="D52" s="57">
        <f>IF(C51/D51-1&gt;0,0,C51/D51-1)*-1</f>
        <v>0.13978374626012491</v>
      </c>
      <c r="E52" s="46"/>
    </row>
    <row r="53" spans="1:17" x14ac:dyDescent="0.25">
      <c r="A53" s="45"/>
      <c r="B53" s="46" t="s">
        <v>14</v>
      </c>
      <c r="C53" s="46"/>
      <c r="D53" s="58">
        <f>IF(C51/D51-1&lt;0,0,C51/D51-1)</f>
        <v>0</v>
      </c>
      <c r="E53" s="46"/>
    </row>
    <row r="54" spans="1:17" x14ac:dyDescent="0.25">
      <c r="A54" s="46"/>
      <c r="B54" s="46"/>
      <c r="C54" s="46"/>
      <c r="D54" s="48"/>
      <c r="E54" s="48"/>
    </row>
    <row r="55" spans="1:17" x14ac:dyDescent="0.25">
      <c r="A55" s="48" t="s">
        <v>22</v>
      </c>
      <c r="B55" s="46"/>
      <c r="C55" s="50">
        <f>D46</f>
        <v>7.9000000000000015E-2</v>
      </c>
      <c r="D55" s="49"/>
      <c r="E55" s="46"/>
      <c r="J55" s="72"/>
    </row>
    <row r="56" spans="1:17" x14ac:dyDescent="0.25">
      <c r="A56" s="48"/>
      <c r="B56" s="46"/>
      <c r="C56" s="50"/>
      <c r="D56" s="49"/>
      <c r="E56" s="46"/>
    </row>
    <row r="57" spans="1:17" hidden="1" x14ac:dyDescent="0.25">
      <c r="A57" s="48" t="s">
        <v>25</v>
      </c>
      <c r="B57" s="75">
        <v>0.108</v>
      </c>
      <c r="C57" s="50"/>
      <c r="D57" s="76">
        <f>SUM(H57:Q57)*1000</f>
        <v>19615019.500010345</v>
      </c>
      <c r="E57" s="46"/>
      <c r="F57" s="1" t="s">
        <v>26</v>
      </c>
      <c r="H57" s="1">
        <f>G15/(1+$B$57)</f>
        <v>1024.748420577617</v>
      </c>
      <c r="I57" s="1">
        <f>H15/(1+$B$57)^2</f>
        <v>992.7983927198319</v>
      </c>
      <c r="J57" s="1">
        <f>I15/(1+$B$57)^3</f>
        <v>990.50160430895289</v>
      </c>
      <c r="K57" s="1">
        <f>J15/(1+$B$57)^4</f>
        <v>958.19481839256366</v>
      </c>
      <c r="L57" s="1">
        <f>K15/(1+$B$57)^5</f>
        <v>987.86399980072008</v>
      </c>
      <c r="M57" s="1">
        <f>L15/(1+$B$57)^6</f>
        <v>1007.8088405508082</v>
      </c>
      <c r="N57" s="1">
        <f>M15/(1+$B$57)^7</f>
        <v>1017.4243452182603</v>
      </c>
      <c r="O57" s="1">
        <f>N15/(1+$B$57)^8</f>
        <v>982.53073049055797</v>
      </c>
      <c r="P57" s="1">
        <f>O15/(1+$B$57)^9</f>
        <v>972.37885066599483</v>
      </c>
      <c r="Q57" s="1">
        <f>(Q15/(B57-Q12))/(1+B57)^10</f>
        <v>10680.769497285039</v>
      </c>
    </row>
    <row r="58" spans="1:17" ht="16.5" thickBot="1" x14ac:dyDescent="0.3">
      <c r="A58" s="22"/>
      <c r="C58" s="67"/>
      <c r="D58" s="68"/>
    </row>
    <row r="59" spans="1:17" x14ac:dyDescent="0.25">
      <c r="A59" s="59" t="s">
        <v>43</v>
      </c>
      <c r="B59" s="23"/>
      <c r="C59" s="69">
        <v>25</v>
      </c>
      <c r="D59" s="23"/>
      <c r="E59" s="24"/>
    </row>
    <row r="60" spans="1:17" x14ac:dyDescent="0.25">
      <c r="A60" s="25" t="s">
        <v>24</v>
      </c>
      <c r="C60" s="70" t="s">
        <v>44</v>
      </c>
      <c r="E60" s="26"/>
    </row>
    <row r="61" spans="1:17" x14ac:dyDescent="0.25">
      <c r="A61" s="25"/>
      <c r="C61" s="70"/>
      <c r="E61" s="26"/>
    </row>
    <row r="62" spans="1:17" x14ac:dyDescent="0.25">
      <c r="A62" s="25" t="s">
        <v>40</v>
      </c>
      <c r="C62" s="70"/>
      <c r="E62" s="60">
        <f>P17*C59</f>
        <v>282.24323444169863</v>
      </c>
    </row>
    <row r="63" spans="1:17" x14ac:dyDescent="0.25">
      <c r="A63" s="25"/>
      <c r="C63" s="70"/>
      <c r="E63" s="26"/>
    </row>
    <row r="64" spans="1:17" x14ac:dyDescent="0.25">
      <c r="A64" s="25" t="s">
        <v>17</v>
      </c>
      <c r="C64" s="71">
        <v>0.2</v>
      </c>
      <c r="E64" s="26"/>
    </row>
    <row r="65" spans="1:5" x14ac:dyDescent="0.25">
      <c r="A65" s="25"/>
      <c r="E65" s="26"/>
    </row>
    <row r="66" spans="1:5" x14ac:dyDescent="0.25">
      <c r="A66" s="25" t="s">
        <v>18</v>
      </c>
      <c r="E66" s="60">
        <f>SUM(G17:Q17)*C64</f>
        <v>15.665547204708156</v>
      </c>
    </row>
    <row r="67" spans="1:5" x14ac:dyDescent="0.25">
      <c r="A67" s="25"/>
      <c r="E67" s="61"/>
    </row>
    <row r="68" spans="1:5" x14ac:dyDescent="0.25">
      <c r="A68" s="62" t="s">
        <v>46</v>
      </c>
      <c r="E68" s="63">
        <f>(E66*0.25)*-1</f>
        <v>-3.9163868011770391</v>
      </c>
    </row>
    <row r="69" spans="1:5" x14ac:dyDescent="0.25">
      <c r="A69" s="25"/>
      <c r="C69" s="41"/>
      <c r="D69" s="41"/>
      <c r="E69" s="64"/>
    </row>
    <row r="70" spans="1:5" x14ac:dyDescent="0.25">
      <c r="A70" s="25" t="s">
        <v>19</v>
      </c>
      <c r="E70" s="60">
        <f>SUM(E62:E68)</f>
        <v>293.99239484522974</v>
      </c>
    </row>
    <row r="71" spans="1:5" x14ac:dyDescent="0.25">
      <c r="A71" s="25"/>
      <c r="E71" s="60"/>
    </row>
    <row r="72" spans="1:5" x14ac:dyDescent="0.25">
      <c r="A72" s="25" t="s">
        <v>20</v>
      </c>
      <c r="E72" s="64">
        <f>E70/C51-1</f>
        <v>1.4715627981944492</v>
      </c>
    </row>
    <row r="73" spans="1:5" x14ac:dyDescent="0.25">
      <c r="A73" s="25"/>
      <c r="E73" s="26"/>
    </row>
    <row r="74" spans="1:5" ht="16.5" thickBot="1" x14ac:dyDescent="0.3">
      <c r="A74" s="65" t="s">
        <v>21</v>
      </c>
      <c r="B74" s="66"/>
      <c r="C74" s="66"/>
      <c r="D74" s="66"/>
      <c r="E74" s="104">
        <f>(E70/C51)^(1/10)-1</f>
        <v>9.470515945345892E-2</v>
      </c>
    </row>
  </sheetData>
  <conditionalFormatting sqref="L6:L8">
    <cfRule type="top10" dxfId="3" priority="6" percent="1" rank="10"/>
  </conditionalFormatting>
  <conditionalFormatting sqref="G6:J8">
    <cfRule type="top10" dxfId="2" priority="5" percent="1" rank="10"/>
  </conditionalFormatting>
  <conditionalFormatting sqref="L9">
    <cfRule type="top10" dxfId="1" priority="4" percent="1" rank="10"/>
  </conditionalFormatting>
  <conditionalFormatting sqref="L2:L5">
    <cfRule type="top10" dxfId="0" priority="3" percent="1" rank="10"/>
  </conditionalFormatting>
  <conditionalFormatting sqref="C32">
    <cfRule type="colorScale" priority="2">
      <colorScale>
        <cfvo type="num" val="0"/>
        <cfvo type="percentile" val="7.0000000000000007E-2"/>
        <cfvo type="num" val="0.15"/>
        <color rgb="FFFFE1E2"/>
        <color rgb="FFFFFAE0"/>
        <color rgb="FF9CF5DC"/>
      </colorScale>
    </cfRule>
  </conditionalFormatting>
  <conditionalFormatting sqref="D40:D44">
    <cfRule type="colorScale" priority="1">
      <colorScale>
        <cfvo type="min"/>
        <cfvo type="num" val="0"/>
        <cfvo type="max"/>
        <color rgb="FFFFE1E2"/>
        <color rgb="FFFFFAE0"/>
        <color rgb="FF9CF5D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Pessimistisch</vt:lpstr>
      <vt:lpstr>Optimistisch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Jakob</dc:creator>
  <cp:lastModifiedBy>Robert Hahn</cp:lastModifiedBy>
  <cp:lastPrinted>2021-08-03T18:16:56Z</cp:lastPrinted>
  <dcterms:created xsi:type="dcterms:W3CDTF">2020-02-09T06:30:31Z</dcterms:created>
  <dcterms:modified xsi:type="dcterms:W3CDTF">2022-09-17T03:47:00Z</dcterms:modified>
</cp:coreProperties>
</file>