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318405E4-B2FB-4DFC-9D92-773EB0CC6C9A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32" l="1"/>
  <c r="K11" i="32"/>
  <c r="L11" i="32"/>
  <c r="M11" i="32" s="1"/>
  <c r="N11" i="32" s="1"/>
  <c r="O11" i="32" s="1"/>
  <c r="P11" i="32" s="1"/>
  <c r="Q11" i="32" s="1"/>
  <c r="I18" i="34"/>
  <c r="J18" i="34" s="1"/>
  <c r="K18" i="34" s="1"/>
  <c r="L18" i="34" s="1"/>
  <c r="M18" i="34" s="1"/>
  <c r="N18" i="34" s="1"/>
  <c r="O18" i="34" s="1"/>
  <c r="P18" i="34" s="1"/>
  <c r="H18" i="34"/>
  <c r="I18" i="32"/>
  <c r="J18" i="32" s="1"/>
  <c r="K18" i="32" s="1"/>
  <c r="L18" i="32" s="1"/>
  <c r="M18" i="32" s="1"/>
  <c r="N18" i="32" s="1"/>
  <c r="O18" i="32" s="1"/>
  <c r="P18" i="32" s="1"/>
  <c r="H18" i="32"/>
  <c r="D50" i="34" l="1"/>
  <c r="D50" i="32"/>
  <c r="G18" i="34"/>
  <c r="G18" i="32"/>
  <c r="G14" i="32" l="1"/>
  <c r="H14" i="32"/>
  <c r="I14" i="32"/>
  <c r="D14" i="32"/>
  <c r="E14" i="32"/>
  <c r="F14" i="32"/>
  <c r="C14" i="32"/>
  <c r="I25" i="32" l="1"/>
  <c r="C14" i="34" l="1"/>
  <c r="D14" i="34"/>
  <c r="E14" i="34"/>
  <c r="F14" i="34"/>
  <c r="G14" i="34"/>
  <c r="H14" i="34"/>
  <c r="I14" i="34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J14" i="32" l="1"/>
  <c r="J15" i="32" s="1"/>
  <c r="L14" i="32"/>
  <c r="L15" i="32" s="1"/>
  <c r="K14" i="32"/>
  <c r="K15" i="32" s="1"/>
  <c r="K57" i="32" l="1"/>
  <c r="J19" i="32"/>
  <c r="J17" i="32"/>
  <c r="J16" i="32"/>
  <c r="L19" i="32"/>
  <c r="L17" i="32"/>
  <c r="M57" i="32"/>
  <c r="K19" i="32"/>
  <c r="K17" i="32"/>
  <c r="L57" i="32"/>
  <c r="M14" i="32"/>
  <c r="M15" i="32" s="1"/>
  <c r="N57" i="32" l="1"/>
  <c r="M17" i="32"/>
  <c r="M19" i="32"/>
  <c r="N14" i="32"/>
  <c r="N15" i="32" s="1"/>
  <c r="O14" i="32"/>
  <c r="O15" i="32" s="1"/>
  <c r="O19" i="32" s="1"/>
  <c r="N19" i="32" l="1"/>
  <c r="N17" i="32"/>
  <c r="O57" i="32"/>
  <c r="Q14" i="32" l="1"/>
  <c r="Q15" i="32" s="1"/>
  <c r="P14" i="32"/>
  <c r="P15" i="32" s="1"/>
  <c r="P17" i="32" s="1"/>
  <c r="O17" i="32"/>
  <c r="P57" i="32"/>
  <c r="E62" i="32" l="1"/>
  <c r="E66" i="32"/>
  <c r="Q57" i="32"/>
  <c r="D57" i="32" s="1"/>
  <c r="Q19" i="32"/>
  <c r="P19" i="32"/>
  <c r="D41" i="32"/>
  <c r="D43" i="32"/>
  <c r="D44" i="32"/>
  <c r="D40" i="32"/>
  <c r="D42" i="32"/>
  <c r="D49" i="32" l="1"/>
  <c r="D51" i="32" s="1"/>
  <c r="D52" i="32" s="1"/>
  <c r="E68" i="32"/>
  <c r="E70" i="32" s="1"/>
  <c r="D53" i="32" l="1"/>
  <c r="E74" i="32"/>
  <c r="E72" i="32" l="1"/>
  <c r="J11" i="34"/>
  <c r="K11" i="34" s="1"/>
  <c r="J14" i="34" l="1"/>
  <c r="J15" i="34" s="1"/>
  <c r="J19" i="34" s="1"/>
  <c r="J17" i="34"/>
  <c r="L11" i="34"/>
  <c r="K14" i="34"/>
  <c r="K15" i="34" s="1"/>
  <c r="J16" i="34" l="1"/>
  <c r="K57" i="34"/>
  <c r="K19" i="34"/>
  <c r="K17" i="34"/>
  <c r="L57" i="34"/>
  <c r="M11" i="34"/>
  <c r="L14" i="34"/>
  <c r="L15" i="34" s="1"/>
  <c r="M57" i="34" l="1"/>
  <c r="L17" i="34"/>
  <c r="L19" i="34"/>
  <c r="M14" i="34"/>
  <c r="M15" i="34" s="1"/>
  <c r="N11" i="34"/>
  <c r="N14" i="34" l="1"/>
  <c r="N15" i="34" s="1"/>
  <c r="O11" i="34"/>
  <c r="M17" i="34"/>
  <c r="N57" i="34"/>
  <c r="M19" i="34"/>
  <c r="P11" i="34" l="1"/>
  <c r="O14" i="34"/>
  <c r="O15" i="34" s="1"/>
  <c r="O57" i="34"/>
  <c r="N17" i="34"/>
  <c r="N19" i="34"/>
  <c r="O17" i="34" l="1"/>
  <c r="P57" i="34"/>
  <c r="O19" i="34"/>
  <c r="Q11" i="34"/>
  <c r="Q14" i="34" s="1"/>
  <c r="Q15" i="34" s="1"/>
  <c r="P14" i="34"/>
  <c r="P15" i="34" s="1"/>
  <c r="Q57" i="34" l="1"/>
  <c r="D57" i="34" s="1"/>
  <c r="Q19" i="34"/>
  <c r="D43" i="34"/>
  <c r="D40" i="34"/>
  <c r="D44" i="34"/>
  <c r="D41" i="34"/>
  <c r="P19" i="34"/>
  <c r="P17" i="34"/>
  <c r="D42" i="34"/>
  <c r="D49" i="34" l="1"/>
  <c r="D51" i="34" s="1"/>
  <c r="E62" i="34"/>
  <c r="E66" i="34"/>
  <c r="E68" i="34" s="1"/>
  <c r="E70" i="34" l="1"/>
  <c r="E74" i="34" s="1"/>
  <c r="D53" i="34"/>
  <c r="D52" i="34"/>
  <c r="E72" i="34" l="1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<sst xmlns="http://schemas.openxmlformats.org/spreadsheetml/2006/main" count="99" uniqueCount="49">
  <si>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</si>
  <si>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</si>
  <si>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</si>
  <si>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</si>
  <si>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</si>
  <si>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</si>
  <si>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</si>
  <si>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</si>
  <si>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</si>
  <si>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</si>
  <si>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</si>
  <si>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</si>
  <si>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</si>
  <si>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</si>
  <si>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</si>
  <si>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</si>
  <si>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</si>
  <si>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</si>
  <si>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</si>
  <si>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</si>
  <si>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</si>
  <si>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</si>
  <si>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</si>
  <si>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</si>
  <si>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</si>
  <si>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</si>
  <si>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</si>
  <si>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</si>
  <si>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</si>
  <si>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</si>
  <si>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</si>
  <si>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</si>
  <si>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</si>
  <si>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</si>
  <si>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</si>
  <si>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</si>
  <si>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</si>
  <si>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</si>
  <si>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</si>
  <si>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</si>
  <si>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</si>
  <si>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</si>
  <si>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Rs</t>
  </si>
  <si>
    <t>KGV Multiple in 2032</t>
  </si>
  <si>
    <t>Gesamtwert 2032</t>
  </si>
  <si>
    <t>Steigerung Gesamt bis 2032 in Prozent</t>
  </si>
  <si>
    <t>Renditeerwartung bis 2032 pro Jahr</t>
  </si>
  <si>
    <t>Quellensteuer Indien (25 %)</t>
  </si>
  <si>
    <t xml:space="preserve"> Annahmen für Infosys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</si>
</sst>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zoomScaleNormal="10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5" width="13.375" style="1" bestFit="1" customWidth="1"/>
    <col min="16" max="16" width="12.5" style="1" customWidth="1"/>
    <col min="17" max="17" width="12.1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4">
        <v>818384.24</v>
      </c>
      <c r="D11" s="84">
        <v>970129.37</v>
      </c>
      <c r="E11" s="84">
        <v>990549.51</v>
      </c>
      <c r="F11" s="84">
        <v>1237306.23</v>
      </c>
      <c r="G11" s="74">
        <v>1452552.3</v>
      </c>
      <c r="H11" s="74">
        <v>1611053.56</v>
      </c>
      <c r="I11" s="74">
        <v>1787724.26</v>
      </c>
      <c r="J11" s="74">
        <f>I11*(1+J12)</f>
        <v>1966496.6860000002</v>
      </c>
      <c r="K11" s="74">
        <f>J11*(1+K12)</f>
        <v>2104151.4540200005</v>
      </c>
      <c r="L11" s="74">
        <f>K11*(1+L12)</f>
        <v>2209359.0267210007</v>
      </c>
      <c r="M11" s="74">
        <f t="shared" ref="M11:Q11" si="0">L11*(1+M12)</f>
        <v>2297733.3877898408</v>
      </c>
      <c r="N11" s="74">
        <f t="shared" si="0"/>
        <v>2366665.3894235361</v>
      </c>
      <c r="O11" s="74">
        <f t="shared" si="0"/>
        <v>2413998.6972120069</v>
      </c>
      <c r="P11" s="74">
        <f t="shared" si="0"/>
        <v>2462278.6711562471</v>
      </c>
      <c r="Q11" s="74">
        <f t="shared" si="0"/>
        <v>2499212.8512235908</v>
      </c>
    </row>
    <row r="12" spans="1:28" x14ac:dyDescent="0.25">
      <c r="A12" s="5"/>
      <c r="B12" s="4" t="s">
        <v>1</v>
      </c>
      <c r="C12" s="88"/>
      <c r="D12" s="91">
        <f>D11/C11-1</f>
        <v>0.18542039616989703</v>
      </c>
      <c r="E12" s="91">
        <f t="shared" ref="E12:F12" si="1">E11/D11-1</f>
        <v>2.1048883408199437E-2</v>
      </c>
      <c r="F12" s="91">
        <f t="shared" si="1"/>
        <v>0.24911094045162874</v>
      </c>
      <c r="G12" s="87">
        <f>G11/F11-1</f>
        <v>0.1739634576963216</v>
      </c>
      <c r="H12" s="87">
        <f t="shared" ref="H12:I12" si="2">H11/G11-1</f>
        <v>0.10911914152764068</v>
      </c>
      <c r="I12" s="87">
        <f t="shared" si="2"/>
        <v>0.10966159312543278</v>
      </c>
      <c r="J12" s="87">
        <v>0.1</v>
      </c>
      <c r="K12" s="87">
        <v>7.0000000000000007E-2</v>
      </c>
      <c r="L12" s="73">
        <v>0.05</v>
      </c>
      <c r="M12" s="73">
        <v>0.04</v>
      </c>
      <c r="N12" s="73">
        <v>0.03</v>
      </c>
      <c r="O12" s="73">
        <v>0.02</v>
      </c>
      <c r="P12" s="73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0.2316</v>
      </c>
      <c r="D13" s="90">
        <v>0.21759999999999999</v>
      </c>
      <c r="E13" s="90">
        <v>0.24940000000000001</v>
      </c>
      <c r="F13" s="90">
        <v>0.23380000000000001</v>
      </c>
      <c r="G13" s="86">
        <v>0.21199999999999999</v>
      </c>
      <c r="H13" s="86">
        <v>0.22059999999999999</v>
      </c>
      <c r="I13" s="86">
        <v>0.22509999999999999</v>
      </c>
      <c r="J13" s="86">
        <v>0.22500000000000001</v>
      </c>
      <c r="K13" s="86">
        <v>0.22</v>
      </c>
      <c r="L13" s="86">
        <v>0.22</v>
      </c>
      <c r="M13" s="86">
        <v>0.22</v>
      </c>
      <c r="N13" s="86">
        <v>0.215</v>
      </c>
      <c r="O13" s="86">
        <v>0.215</v>
      </c>
      <c r="P13" s="86">
        <v>0.21</v>
      </c>
      <c r="Q13" s="86">
        <v>0.21</v>
      </c>
    </row>
    <row r="14" spans="1:28" ht="17.100000000000001" customHeight="1" x14ac:dyDescent="0.25">
      <c r="A14" s="5"/>
      <c r="B14" s="4" t="s">
        <v>16</v>
      </c>
      <c r="C14" s="84">
        <f>C11*C13</f>
        <v>189537.789984</v>
      </c>
      <c r="D14" s="84">
        <f t="shared" ref="D14:F14" si="3">D11*D13</f>
        <v>211100.15091199998</v>
      </c>
      <c r="E14" s="84">
        <f t="shared" si="3"/>
        <v>247043.04779400001</v>
      </c>
      <c r="F14" s="84">
        <f t="shared" si="3"/>
        <v>289282.196574</v>
      </c>
      <c r="G14" s="74">
        <f>G11*G13</f>
        <v>307941.08760000003</v>
      </c>
      <c r="H14" s="74">
        <f t="shared" ref="H14:J14" si="4">H11*H13</f>
        <v>355398.41533599998</v>
      </c>
      <c r="I14" s="74">
        <f t="shared" si="4"/>
        <v>402416.73092599999</v>
      </c>
      <c r="J14" s="74">
        <f t="shared" si="4"/>
        <v>442461.75435000006</v>
      </c>
      <c r="K14" s="74">
        <f t="shared" ref="K14:Q14" si="5">K11*K13</f>
        <v>462913.31988440012</v>
      </c>
      <c r="L14" s="74">
        <f t="shared" si="5"/>
        <v>486058.98587862012</v>
      </c>
      <c r="M14" s="74">
        <f t="shared" si="5"/>
        <v>505501.34531376499</v>
      </c>
      <c r="N14" s="74">
        <f t="shared" si="5"/>
        <v>508833.05872606026</v>
      </c>
      <c r="O14" s="74">
        <f t="shared" si="5"/>
        <v>519009.71990058146</v>
      </c>
      <c r="P14" s="74">
        <f t="shared" si="5"/>
        <v>517078.52094281185</v>
      </c>
      <c r="Q14" s="74">
        <f t="shared" si="5"/>
        <v>524834.69875695405</v>
      </c>
    </row>
    <row r="15" spans="1:28" x14ac:dyDescent="0.25">
      <c r="A15" s="102">
        <v>0.25</v>
      </c>
      <c r="B15" s="4" t="s">
        <v>39</v>
      </c>
      <c r="C15" s="84">
        <v>152464.983912</v>
      </c>
      <c r="D15" s="84">
        <v>177339.64883599998</v>
      </c>
      <c r="E15" s="84">
        <v>190779.83562599999</v>
      </c>
      <c r="F15" s="84">
        <v>224942.27261399999</v>
      </c>
      <c r="G15" s="74">
        <v>242285.72364000001</v>
      </c>
      <c r="H15" s="74">
        <v>280806.63550800004</v>
      </c>
      <c r="I15" s="74">
        <v>317321.05614999996</v>
      </c>
      <c r="J15" s="74">
        <f>J14*(1-$A$15)</f>
        <v>331846.31576250005</v>
      </c>
      <c r="K15" s="74">
        <f>K14*(1-$A$15)</f>
        <v>347184.98991330009</v>
      </c>
      <c r="L15" s="74">
        <f>L14*(1-$A$15)</f>
        <v>364544.23940896511</v>
      </c>
      <c r="M15" s="74">
        <f t="shared" ref="M15:P15" si="6">M14*(1-$A$15)</f>
        <v>379126.00898532372</v>
      </c>
      <c r="N15" s="74">
        <f t="shared" si="6"/>
        <v>381624.79404454521</v>
      </c>
      <c r="O15" s="74">
        <f t="shared" si="6"/>
        <v>389257.28992543608</v>
      </c>
      <c r="P15" s="74">
        <f t="shared" si="6"/>
        <v>387808.89070710889</v>
      </c>
      <c r="Q15" s="74">
        <f>Q14*(1-$A$15)</f>
        <v>393626.02406771551</v>
      </c>
    </row>
    <row r="16" spans="1:28" ht="32.25" hidden="1" thickBot="1" x14ac:dyDescent="0.3">
      <c r="A16" s="13" t="s">
        <v>6</v>
      </c>
      <c r="B16" s="14"/>
      <c r="C16" s="15">
        <f t="shared" ref="C16:J16" si="7">C15/C14</f>
        <v>0.80440414507772018</v>
      </c>
      <c r="D16" s="15">
        <f t="shared" si="7"/>
        <v>0.84007352941176472</v>
      </c>
      <c r="E16" s="15">
        <f t="shared" si="7"/>
        <v>0.77225340817963106</v>
      </c>
      <c r="F16" s="15">
        <f t="shared" si="7"/>
        <v>0.77758768177929849</v>
      </c>
      <c r="G16" s="15">
        <f t="shared" si="7"/>
        <v>0.78679245283018862</v>
      </c>
      <c r="H16" s="15">
        <f t="shared" si="7"/>
        <v>0.7901178603807798</v>
      </c>
      <c r="I16" s="15">
        <f t="shared" si="7"/>
        <v>0.78853842736561519</v>
      </c>
      <c r="J16" s="15">
        <f t="shared" si="7"/>
        <v>0.75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57.434093549839993</v>
      </c>
      <c r="H17" s="74">
        <f t="shared" ref="H17:P17" si="8">H15/H18</f>
        <v>66.73234835530215</v>
      </c>
      <c r="I17" s="74">
        <f t="shared" si="8"/>
        <v>75.598822115747765</v>
      </c>
      <c r="J17" s="74">
        <f t="shared" si="8"/>
        <v>79.257475266959972</v>
      </c>
      <c r="K17" s="74">
        <f t="shared" si="8"/>
        <v>83.128753785986632</v>
      </c>
      <c r="L17" s="74">
        <f t="shared" si="8"/>
        <v>87.503951353670132</v>
      </c>
      <c r="M17" s="74">
        <f t="shared" si="8"/>
        <v>91.232189882523244</v>
      </c>
      <c r="N17" s="74">
        <f t="shared" si="8"/>
        <v>92.063652082409547</v>
      </c>
      <c r="O17" s="74">
        <f t="shared" si="8"/>
        <v>94.1402758135917</v>
      </c>
      <c r="P17" s="74">
        <f t="shared" si="8"/>
        <v>94.025049037810078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4218.5</v>
      </c>
      <c r="H18" s="74">
        <f>G18*0.9975</f>
        <v>4207.9537500000006</v>
      </c>
      <c r="I18" s="74">
        <f t="shared" ref="I18:P18" si="9">H18*0.9975</f>
        <v>4197.4338656250011</v>
      </c>
      <c r="J18" s="74">
        <f t="shared" si="9"/>
        <v>4186.9402809609392</v>
      </c>
      <c r="K18" s="74">
        <f t="shared" si="9"/>
        <v>4176.4729302585374</v>
      </c>
      <c r="L18" s="74">
        <f t="shared" si="9"/>
        <v>4166.0317479328914</v>
      </c>
      <c r="M18" s="74">
        <f t="shared" si="9"/>
        <v>4155.6166685630596</v>
      </c>
      <c r="N18" s="74">
        <f t="shared" si="9"/>
        <v>4145.2276268916521</v>
      </c>
      <c r="O18" s="74">
        <f t="shared" si="9"/>
        <v>4134.8645578244232</v>
      </c>
      <c r="P18" s="74">
        <f t="shared" si="9"/>
        <v>4124.5273964298622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219860.00330308528</v>
      </c>
      <c r="H19" s="53">
        <f>H15/(1+$C$55)^2</f>
        <v>231229.99883728972</v>
      </c>
      <c r="I19" s="53">
        <f>I15/(1+$C$55)^3</f>
        <v>237112.31328035364</v>
      </c>
      <c r="J19" s="53">
        <f>J15/(1+$C$55)^4</f>
        <v>225014.56073549067</v>
      </c>
      <c r="K19" s="53">
        <f>K15/(1+$C$55)^5</f>
        <v>213625.4389882416</v>
      </c>
      <c r="L19" s="53">
        <f>L15/(1+$C$55)^6</f>
        <v>203545.10974378735</v>
      </c>
      <c r="M19" s="53">
        <f>M15/(1+$C$55)^7</f>
        <v>192093.3885059336</v>
      </c>
      <c r="N19" s="53">
        <f>N15/(1+$C$55)^8</f>
        <v>175462.3035994019</v>
      </c>
      <c r="O19" s="53">
        <f>O15/(1+$C$55)^9</f>
        <v>162406.12492866599</v>
      </c>
      <c r="P19" s="53">
        <f>P15/(1+$C$55)^10</f>
        <v>146825.61076993312</v>
      </c>
      <c r="Q19" s="54">
        <f>(Q15/(C55-Q12))/(1+C55)^10</f>
        <v>1712965.4589825524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0.03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7.2000000000000022E-2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96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0.10200000000000002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0.10200000000000002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0.10200000000000002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44828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5760150.8250000002</v>
      </c>
      <c r="D49" s="47">
        <f>SUM(G19:Q19)</f>
        <v>3720140.3116747355</v>
      </c>
      <c r="E49" s="46" t="s">
        <v>42</v>
      </c>
    </row>
    <row r="50" spans="1:17" x14ac:dyDescent="0.25">
      <c r="A50" s="45"/>
      <c r="B50" s="46" t="s">
        <v>11</v>
      </c>
      <c r="C50" s="56">
        <v>4218.5</v>
      </c>
      <c r="D50" s="56">
        <f>C50</f>
        <v>4218.5</v>
      </c>
      <c r="E50" s="46"/>
    </row>
    <row r="51" spans="1:17" x14ac:dyDescent="0.25">
      <c r="A51" s="45"/>
      <c r="B51" s="46" t="s">
        <v>13</v>
      </c>
      <c r="C51" s="89">
        <v>1365.45</v>
      </c>
      <c r="D51" s="56">
        <f>D49/(D50)</f>
        <v>881.86329540707254</v>
      </c>
      <c r="E51" s="46" t="s">
        <v>42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0.54836923944056593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0.10200000000000002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3331140871.1848826</v>
      </c>
      <c r="E57" s="46"/>
      <c r="F57" s="1" t="s">
        <v>23</v>
      </c>
      <c r="H57" s="1">
        <f>G15/(1+$B$57)</f>
        <v>218669.42566787003</v>
      </c>
      <c r="I57" s="1">
        <f>H15/(1+$B$57)^2</f>
        <v>228732.48340588302</v>
      </c>
      <c r="J57" s="1">
        <f>I15/(1+$B$57)^3</f>
        <v>233281.12977225194</v>
      </c>
      <c r="K57" s="1">
        <f>J15/(1+$B$57)^4</f>
        <v>220180.04634145659</v>
      </c>
      <c r="L57" s="1">
        <f>K15/(1+$B$57)^5</f>
        <v>207903.66188840306</v>
      </c>
      <c r="M57" s="1">
        <f>L15/(1+$B$57)^6</f>
        <v>197020.61821554441</v>
      </c>
      <c r="N57" s="1">
        <f>M15/(1+$B$57)^7</f>
        <v>184929.10013011386</v>
      </c>
      <c r="O57" s="1">
        <f>N15/(1+$B$57)^8</f>
        <v>168003.56590012187</v>
      </c>
      <c r="P57" s="1">
        <f>O15/(1+$B$57)^9</f>
        <v>154660.32239902913</v>
      </c>
      <c r="Q57" s="1">
        <f>(Q15/(B57-Q12))/(1+B57)^10</f>
        <v>1517760.5174642089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43</v>
      </c>
      <c r="B59" s="23"/>
      <c r="C59" s="69">
        <v>15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1410.3757355671512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0.6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492.66996674630468</v>
      </c>
    </row>
    <row r="67" spans="1:5" x14ac:dyDescent="0.25">
      <c r="A67" s="25"/>
      <c r="E67" s="61"/>
    </row>
    <row r="68" spans="1:5" x14ac:dyDescent="0.25">
      <c r="A68" s="62" t="s">
        <v>47</v>
      </c>
      <c r="E68" s="63">
        <f>(E66*0.25)*-1</f>
        <v>-123.16749168657617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44</v>
      </c>
      <c r="E70" s="60">
        <f>SUM(E62:E68)</f>
        <v>1779.8782106268798</v>
      </c>
    </row>
    <row r="71" spans="1:5" x14ac:dyDescent="0.25">
      <c r="A71" s="25"/>
      <c r="E71" s="60"/>
    </row>
    <row r="72" spans="1:5" x14ac:dyDescent="0.25">
      <c r="A72" s="25" t="s">
        <v>45</v>
      </c>
      <c r="E72" s="64">
        <f>E70/C51-1</f>
        <v>0.30351035235774271</v>
      </c>
    </row>
    <row r="73" spans="1:5" x14ac:dyDescent="0.25">
      <c r="A73" s="25"/>
      <c r="E73" s="26"/>
    </row>
    <row r="74" spans="1:5" ht="16.5" thickBot="1" x14ac:dyDescent="0.3">
      <c r="A74" s="65" t="s">
        <v>46</v>
      </c>
      <c r="B74" s="66"/>
      <c r="C74" s="66"/>
      <c r="D74" s="66"/>
      <c r="E74" s="104">
        <f>(E70/C51)^(1/10)-1</f>
        <v>2.6860500446208135E-2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zoomScaleNormal="100" workbookViewId="0">
      <selection activeCell="A46" sqref="A46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5" width="13.375" style="1" bestFit="1" customWidth="1"/>
    <col min="16" max="16" width="12.375" style="1" customWidth="1"/>
    <col min="17" max="17" width="11.87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4">
        <v>818384.24</v>
      </c>
      <c r="D11" s="84">
        <v>970129.37</v>
      </c>
      <c r="E11" s="84">
        <v>990549.51</v>
      </c>
      <c r="F11" s="84">
        <v>1237306.23</v>
      </c>
      <c r="G11" s="74">
        <v>1452552.3</v>
      </c>
      <c r="H11" s="74">
        <v>1611053.56</v>
      </c>
      <c r="I11" s="74">
        <v>1787724.26</v>
      </c>
      <c r="J11" s="74">
        <f>I11*(1+J12)</f>
        <v>1966496.6860000002</v>
      </c>
      <c r="K11" s="74">
        <f>J11*(1+K12)</f>
        <v>2163146.3546000002</v>
      </c>
      <c r="L11" s="74">
        <f>K11*(1+L12)</f>
        <v>2357829.5265140003</v>
      </c>
      <c r="M11" s="74">
        <f t="shared" ref="M11:Q11" si="0">L11*(1+M12)</f>
        <v>2570034.1839002604</v>
      </c>
      <c r="N11" s="74">
        <f t="shared" si="0"/>
        <v>2775636.9186122813</v>
      </c>
      <c r="O11" s="74">
        <f t="shared" si="0"/>
        <v>2969931.5029151412</v>
      </c>
      <c r="P11" s="74">
        <f t="shared" si="0"/>
        <v>3118428.0780608985</v>
      </c>
      <c r="Q11" s="74">
        <f t="shared" si="0"/>
        <v>3180796.6396221165</v>
      </c>
    </row>
    <row r="12" spans="1:28" x14ac:dyDescent="0.25">
      <c r="A12" s="5"/>
      <c r="B12" s="4" t="s">
        <v>1</v>
      </c>
      <c r="C12" s="88"/>
      <c r="D12" s="91">
        <f t="shared" ref="D12" si="1">D11/C11-1</f>
        <v>0.18542039616989703</v>
      </c>
      <c r="E12" s="91">
        <f t="shared" ref="E12" si="2">E11/D11-1</f>
        <v>2.1048883408199437E-2</v>
      </c>
      <c r="F12" s="91">
        <f t="shared" ref="F12" si="3">F11/E11-1</f>
        <v>0.24911094045162874</v>
      </c>
      <c r="G12" s="87">
        <f t="shared" ref="G12" si="4">G11/F11-1</f>
        <v>0.1739634576963216</v>
      </c>
      <c r="H12" s="87">
        <f t="shared" ref="H12:I12" si="5">H11/G11-1</f>
        <v>0.10911914152764068</v>
      </c>
      <c r="I12" s="87">
        <f t="shared" si="5"/>
        <v>0.10966159312543278</v>
      </c>
      <c r="J12" s="87">
        <v>0.1</v>
      </c>
      <c r="K12" s="87">
        <v>0.1</v>
      </c>
      <c r="L12" s="73">
        <v>0.09</v>
      </c>
      <c r="M12" s="73">
        <v>0.09</v>
      </c>
      <c r="N12" s="73">
        <v>0.08</v>
      </c>
      <c r="O12" s="73">
        <v>7.0000000000000007E-2</v>
      </c>
      <c r="P12" s="73">
        <v>0.05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0.2316</v>
      </c>
      <c r="D13" s="90">
        <v>0.21759999999999999</v>
      </c>
      <c r="E13" s="90">
        <v>0.24940000000000001</v>
      </c>
      <c r="F13" s="90">
        <v>0.23380000000000001</v>
      </c>
      <c r="G13" s="86">
        <v>0.21199999999999999</v>
      </c>
      <c r="H13" s="86">
        <v>0.22059999999999999</v>
      </c>
      <c r="I13" s="86">
        <v>0.22509999999999999</v>
      </c>
      <c r="J13" s="86">
        <v>0.23</v>
      </c>
      <c r="K13" s="86">
        <v>0.23</v>
      </c>
      <c r="L13" s="86">
        <v>0.24</v>
      </c>
      <c r="M13" s="86">
        <v>0.24</v>
      </c>
      <c r="N13" s="86">
        <v>0.245</v>
      </c>
      <c r="O13" s="86">
        <v>0.245</v>
      </c>
      <c r="P13" s="86">
        <v>0.25</v>
      </c>
      <c r="Q13" s="86">
        <v>0.25</v>
      </c>
    </row>
    <row r="14" spans="1:28" ht="17.100000000000001" customHeight="1" x14ac:dyDescent="0.25">
      <c r="A14" s="5"/>
      <c r="B14" s="4" t="s">
        <v>16</v>
      </c>
      <c r="C14" s="84">
        <f>C11*C13</f>
        <v>189537.789984</v>
      </c>
      <c r="D14" s="84">
        <f t="shared" ref="D14:J14" si="6">D11*D13</f>
        <v>211100.15091199998</v>
      </c>
      <c r="E14" s="84">
        <f t="shared" si="6"/>
        <v>247043.04779400001</v>
      </c>
      <c r="F14" s="84">
        <f t="shared" si="6"/>
        <v>289282.196574</v>
      </c>
      <c r="G14" s="74">
        <f t="shared" si="6"/>
        <v>307941.08760000003</v>
      </c>
      <c r="H14" s="74">
        <f t="shared" si="6"/>
        <v>355398.41533599998</v>
      </c>
      <c r="I14" s="74">
        <f t="shared" si="6"/>
        <v>402416.73092599999</v>
      </c>
      <c r="J14" s="74">
        <f t="shared" si="6"/>
        <v>452294.23778000008</v>
      </c>
      <c r="K14" s="74">
        <f t="shared" ref="K14:Q14" si="7">K11*K13</f>
        <v>497523.66155800008</v>
      </c>
      <c r="L14" s="74">
        <f t="shared" si="7"/>
        <v>565879.08636336005</v>
      </c>
      <c r="M14" s="74">
        <f t="shared" si="7"/>
        <v>616808.20413606241</v>
      </c>
      <c r="N14" s="74">
        <f t="shared" si="7"/>
        <v>680031.04506000888</v>
      </c>
      <c r="O14" s="74">
        <f>O11*O13</f>
        <v>727633.21821420954</v>
      </c>
      <c r="P14" s="74">
        <f t="shared" si="7"/>
        <v>779607.01951522462</v>
      </c>
      <c r="Q14" s="74">
        <f t="shared" si="7"/>
        <v>795199.15990552912</v>
      </c>
    </row>
    <row r="15" spans="1:28" x14ac:dyDescent="0.25">
      <c r="A15" s="102">
        <v>0.2</v>
      </c>
      <c r="B15" s="4" t="s">
        <v>39</v>
      </c>
      <c r="C15" s="84">
        <v>152464.983912</v>
      </c>
      <c r="D15" s="84">
        <v>177339.64883599998</v>
      </c>
      <c r="E15" s="84">
        <v>190779.83562599999</v>
      </c>
      <c r="F15" s="84">
        <v>224942.27261399999</v>
      </c>
      <c r="G15" s="74">
        <v>242285.72364000001</v>
      </c>
      <c r="H15" s="74">
        <v>280806.63550800004</v>
      </c>
      <c r="I15" s="74">
        <v>317321.05614999996</v>
      </c>
      <c r="J15" s="74">
        <f t="shared" ref="J15:Q15" si="8">J14*(1-$A$15)</f>
        <v>361835.39022400009</v>
      </c>
      <c r="K15" s="74">
        <f t="shared" si="8"/>
        <v>398018.92924640008</v>
      </c>
      <c r="L15" s="74">
        <f t="shared" si="8"/>
        <v>452703.26909068809</v>
      </c>
      <c r="M15" s="74">
        <f t="shared" si="8"/>
        <v>493446.56330884993</v>
      </c>
      <c r="N15" s="74">
        <f t="shared" si="8"/>
        <v>544024.83604800713</v>
      </c>
      <c r="O15" s="74">
        <f>O14*(1-$A$15)</f>
        <v>582106.5745713677</v>
      </c>
      <c r="P15" s="74">
        <f t="shared" si="8"/>
        <v>623685.61561217974</v>
      </c>
      <c r="Q15" s="74">
        <f t="shared" si="8"/>
        <v>636159.32792442339</v>
      </c>
    </row>
    <row r="16" spans="1:28" ht="32.25" hidden="1" thickBot="1" x14ac:dyDescent="0.3">
      <c r="A16" s="13" t="s">
        <v>6</v>
      </c>
      <c r="B16" s="14"/>
      <c r="C16" s="15">
        <f t="shared" ref="C16:J16" si="9">C15/C14</f>
        <v>0.80440414507772018</v>
      </c>
      <c r="D16" s="15">
        <f t="shared" si="9"/>
        <v>0.84007352941176472</v>
      </c>
      <c r="E16" s="15">
        <f t="shared" si="9"/>
        <v>0.77225340817963106</v>
      </c>
      <c r="F16" s="15">
        <f t="shared" si="9"/>
        <v>0.77758768177929849</v>
      </c>
      <c r="G16" s="15">
        <f t="shared" si="9"/>
        <v>0.78679245283018862</v>
      </c>
      <c r="H16" s="15">
        <f t="shared" si="9"/>
        <v>0.7901178603807798</v>
      </c>
      <c r="I16" s="15">
        <f t="shared" si="9"/>
        <v>0.78853842736561519</v>
      </c>
      <c r="J16" s="15">
        <f t="shared" si="9"/>
        <v>0.8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57.434093549839993</v>
      </c>
      <c r="H17" s="74">
        <f t="shared" ref="H17:O17" si="10">H15/H18</f>
        <v>67.068531470442224</v>
      </c>
      <c r="I17" s="74">
        <f t="shared" si="10"/>
        <v>76.362441736507193</v>
      </c>
      <c r="J17" s="74">
        <f t="shared" si="10"/>
        <v>87.732689296308564</v>
      </c>
      <c r="K17" s="74">
        <f t="shared" si="10"/>
        <v>97.235222393893622</v>
      </c>
      <c r="L17" s="74">
        <f t="shared" si="10"/>
        <v>111.43022310039457</v>
      </c>
      <c r="M17" s="74">
        <f t="shared" si="10"/>
        <v>122.37676894652901</v>
      </c>
      <c r="N17" s="74">
        <f t="shared" si="10"/>
        <v>135.9399372932476</v>
      </c>
      <c r="O17" s="74">
        <f t="shared" si="10"/>
        <v>146.55489461337527</v>
      </c>
      <c r="P17" s="74">
        <f>P15/P18</f>
        <v>158.20967392591788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4218.5</v>
      </c>
      <c r="H18" s="74">
        <f>G18*0.9925</f>
        <v>4186.8612499999999</v>
      </c>
      <c r="I18" s="74">
        <f t="shared" ref="I18:P18" si="11">H18*0.9925</f>
        <v>4155.4597906250001</v>
      </c>
      <c r="J18" s="74">
        <f t="shared" si="11"/>
        <v>4124.2938421953131</v>
      </c>
      <c r="K18" s="74">
        <f t="shared" si="11"/>
        <v>4093.3616383788485</v>
      </c>
      <c r="L18" s="74">
        <f t="shared" si="11"/>
        <v>4062.6614260910073</v>
      </c>
      <c r="M18" s="74">
        <f t="shared" si="11"/>
        <v>4032.1914653953249</v>
      </c>
      <c r="N18" s="74">
        <f t="shared" si="11"/>
        <v>4001.9500294048603</v>
      </c>
      <c r="O18" s="74">
        <f t="shared" si="11"/>
        <v>3971.9354041843239</v>
      </c>
      <c r="P18" s="74">
        <f t="shared" si="11"/>
        <v>3942.1458886529417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219860.00330308528</v>
      </c>
      <c r="H19" s="53">
        <f>H15/(1+$C$55)^2</f>
        <v>231229.99883728972</v>
      </c>
      <c r="I19" s="53">
        <f>I15/(1+$C$55)^3</f>
        <v>237112.31328035364</v>
      </c>
      <c r="J19" s="53">
        <f>J15/(1+$C$55)^4</f>
        <v>245349.20992788317</v>
      </c>
      <c r="K19" s="53">
        <f>K15/(1+$C$55)^5</f>
        <v>244903.9300550558</v>
      </c>
      <c r="L19" s="53">
        <f>L15/(1+$C$55)^6</f>
        <v>252769.14740946336</v>
      </c>
      <c r="M19" s="53">
        <f>M15/(1+$C$55)^7</f>
        <v>250016.67030518601</v>
      </c>
      <c r="N19" s="53">
        <f>N15/(1+$C$55)^8</f>
        <v>250130.10799588711</v>
      </c>
      <c r="O19" s="53">
        <f>O15/(1+$C$55)^9</f>
        <v>242866.80177459097</v>
      </c>
      <c r="P19" s="53">
        <f>P15/(1+$C$55)^10</f>
        <v>236129.2472529728</v>
      </c>
      <c r="Q19" s="54">
        <f>(Q15/(C55-Q12))/(1+C55)^10</f>
        <v>2937217.4658296611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0.03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7.2000000000000022E-2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0.10200000000000002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0.10200000000000002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0.10200000000000002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44828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5760150.8250000002</v>
      </c>
      <c r="D49" s="47">
        <f>SUM(G19:Q19)</f>
        <v>5347584.8959714286</v>
      </c>
      <c r="E49" s="46" t="s">
        <v>42</v>
      </c>
    </row>
    <row r="50" spans="1:17" x14ac:dyDescent="0.25">
      <c r="A50" s="45"/>
      <c r="B50" s="46" t="s">
        <v>11</v>
      </c>
      <c r="C50" s="56">
        <v>4218.5</v>
      </c>
      <c r="D50" s="56">
        <f>C50</f>
        <v>4218.5</v>
      </c>
      <c r="E50" s="46"/>
    </row>
    <row r="51" spans="1:17" x14ac:dyDescent="0.25">
      <c r="A51" s="45"/>
      <c r="B51" s="46" t="s">
        <v>13</v>
      </c>
      <c r="C51" s="89">
        <v>1365.45</v>
      </c>
      <c r="D51" s="56">
        <f>D49/(D50)</f>
        <v>1267.6507990924331</v>
      </c>
      <c r="E51" s="46" t="s">
        <v>42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7.7149954054843484E-2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0.10200000000000002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4707547108.6024609</v>
      </c>
      <c r="E57" s="46"/>
      <c r="F57" s="1" t="s">
        <v>23</v>
      </c>
      <c r="H57" s="1">
        <f>G15/(1+$B$57)</f>
        <v>218669.42566787003</v>
      </c>
      <c r="I57" s="1">
        <f>H15/(1+$B$57)^2</f>
        <v>228732.48340588302</v>
      </c>
      <c r="J57" s="1">
        <f>I15/(1+$B$57)^3</f>
        <v>233281.12977225194</v>
      </c>
      <c r="K57" s="1">
        <f>J15/(1+$B$57)^4</f>
        <v>240077.79867749935</v>
      </c>
      <c r="L57" s="1">
        <f>K15/(1+$B$57)^5</f>
        <v>238344.3849686365</v>
      </c>
      <c r="M57" s="1">
        <f>L15/(1+$B$57)^6</f>
        <v>244666.81489481754</v>
      </c>
      <c r="N57" s="1">
        <f>M15/(1+$B$57)^7</f>
        <v>240692.08324490167</v>
      </c>
      <c r="O57" s="1">
        <f>N15/(1+$B$57)^8</f>
        <v>239497.31207355962</v>
      </c>
      <c r="P57" s="1">
        <f>O15/(1+$B$57)^9</f>
        <v>231283.50534179492</v>
      </c>
      <c r="Q57" s="1">
        <f>(Q15/(B57-Q12))/(1+B57)^10</f>
        <v>2592302.1705552465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43</v>
      </c>
      <c r="B59" s="23"/>
      <c r="C59" s="69">
        <v>25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3955.2418481479472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0.6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636.20668579587357</v>
      </c>
    </row>
    <row r="67" spans="1:5" x14ac:dyDescent="0.25">
      <c r="A67" s="25"/>
      <c r="E67" s="61"/>
    </row>
    <row r="68" spans="1:5" x14ac:dyDescent="0.25">
      <c r="A68" s="62" t="s">
        <v>47</v>
      </c>
      <c r="E68" s="63">
        <f>(E66*0.25)*-1</f>
        <v>-159.05167144896839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44</v>
      </c>
      <c r="E70" s="60">
        <f>SUM(E62:E68)</f>
        <v>4432.396862494852</v>
      </c>
    </row>
    <row r="71" spans="1:5" x14ac:dyDescent="0.25">
      <c r="A71" s="25"/>
      <c r="E71" s="60"/>
    </row>
    <row r="72" spans="1:5" x14ac:dyDescent="0.25">
      <c r="A72" s="25" t="s">
        <v>45</v>
      </c>
      <c r="E72" s="64">
        <f>E70/C51-1</f>
        <v>2.246107043461754</v>
      </c>
    </row>
    <row r="73" spans="1:5" x14ac:dyDescent="0.25">
      <c r="A73" s="25"/>
      <c r="E73" s="26"/>
    </row>
    <row r="74" spans="1:5" ht="16.5" thickBot="1" x14ac:dyDescent="0.3">
      <c r="A74" s="65" t="s">
        <v>46</v>
      </c>
      <c r="B74" s="66"/>
      <c r="C74" s="66"/>
      <c r="D74" s="66"/>
      <c r="E74" s="104">
        <f>(E70/C51)^(1/10)-1</f>
        <v>0.12495793580136261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2022-09-23T17:10:04Z</dcterms:modified>
</cp:coreProperties>
</file>