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er\Desktop\WLA\"/>
    </mc:Choice>
  </mc:AlternateContent>
  <xr:revisionPtr revIDLastSave="0" documentId="13_ncr:1_{B1F15376-ADAA-4954-91A7-1134F5E58AC1}" xr6:coauthVersionLast="44" xr6:coauthVersionMax="47" xr10:uidLastSave="{00000000-0000-0000-0000-000000000000}"/>
  <bookViews>
    <workbookView xWindow="-28920" yWindow="-120" windowWidth="29040" windowHeight="15840" activeTab="1" xr2:uid="{00000000-000D-0000-FFFF-FFFF00000000}"/>
  </bookViews>
  <sheets>
    <sheet name="Pessimistisch" sheetId="34" r:id="rId1"/>
    <sheet name="Optimistisch" sheetId="3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0" i="34" l="1"/>
  <c r="D50" i="32"/>
  <c r="G18" i="34"/>
  <c r="G18" i="32"/>
  <c r="G19" i="32"/>
  <c r="D49" i="32"/>
  <c r="J12" i="34" l="1"/>
  <c r="J12" i="32" l="1"/>
  <c r="G14" i="32" l="1"/>
  <c r="H14" i="32"/>
  <c r="I14" i="32"/>
  <c r="D14" i="32"/>
  <c r="E14" i="32"/>
  <c r="F14" i="32"/>
  <c r="C14" i="32"/>
  <c r="I25" i="32" l="1"/>
  <c r="C14" i="34" l="1"/>
  <c r="D14" i="34"/>
  <c r="E14" i="34"/>
  <c r="F14" i="34"/>
  <c r="G14" i="34"/>
  <c r="H14" i="34"/>
  <c r="I14" i="34"/>
  <c r="I12" i="32" l="1"/>
  <c r="H12" i="34" l="1"/>
  <c r="I12" i="34"/>
  <c r="G12" i="34"/>
  <c r="E12" i="34"/>
  <c r="F12" i="34"/>
  <c r="D12" i="34"/>
  <c r="D12" i="32" l="1"/>
  <c r="E12" i="32"/>
  <c r="F12" i="32"/>
  <c r="G12" i="32"/>
  <c r="H12" i="32"/>
  <c r="H18" i="34" l="1"/>
  <c r="I18" i="34" s="1"/>
  <c r="J18" i="34" s="1"/>
  <c r="K18" i="34" s="1"/>
  <c r="L18" i="34" s="1"/>
  <c r="M18" i="34" s="1"/>
  <c r="N18" i="34" s="1"/>
  <c r="O18" i="34" s="1"/>
  <c r="P18" i="34" s="1"/>
  <c r="C16" i="34"/>
  <c r="H16" i="34"/>
  <c r="G16" i="34"/>
  <c r="F16" i="34"/>
  <c r="E16" i="34"/>
  <c r="D16" i="34"/>
  <c r="C49" i="32"/>
  <c r="G17" i="34" l="1"/>
  <c r="H17" i="34"/>
  <c r="C49" i="34" l="1"/>
  <c r="I31" i="34"/>
  <c r="I33" i="34" s="1"/>
  <c r="D46" i="34" s="1"/>
  <c r="C55" i="34" s="1"/>
  <c r="I25" i="34"/>
  <c r="I57" i="32"/>
  <c r="I31" i="32"/>
  <c r="I33" i="32" s="1"/>
  <c r="D46" i="32" s="1"/>
  <c r="C55" i="32" s="1"/>
  <c r="C16" i="32"/>
  <c r="H19" i="34" l="1"/>
  <c r="G19" i="34"/>
  <c r="H57" i="34"/>
  <c r="I57" i="34"/>
  <c r="H16" i="32"/>
  <c r="H19" i="32"/>
  <c r="H57" i="32"/>
  <c r="G16" i="32"/>
  <c r="F16" i="32" l="1"/>
  <c r="E16" i="32"/>
  <c r="D16" i="32"/>
  <c r="J57" i="32" l="1"/>
  <c r="I16" i="32"/>
  <c r="I19" i="32"/>
  <c r="J19" i="32" l="1"/>
  <c r="K57" i="32"/>
  <c r="K57" i="34" l="1"/>
  <c r="J17" i="34"/>
  <c r="J19" i="34"/>
  <c r="J57" i="34" l="1"/>
  <c r="I16" i="34"/>
  <c r="I19" i="34"/>
  <c r="I17" i="34"/>
  <c r="K11" i="32" l="1"/>
  <c r="L11" i="32" s="1"/>
  <c r="L14" i="32" s="1"/>
  <c r="L15" i="32" s="1"/>
  <c r="J14" i="32"/>
  <c r="J16" i="32" s="1"/>
  <c r="K14" i="32" l="1"/>
  <c r="K15" i="32" s="1"/>
  <c r="K19" i="32" s="1"/>
  <c r="M11" i="32"/>
  <c r="M14" i="32" s="1"/>
  <c r="M15" i="32" s="1"/>
  <c r="L57" i="32"/>
  <c r="M57" i="32"/>
  <c r="L19" i="32"/>
  <c r="N11" i="32" l="1"/>
  <c r="N14" i="32" s="1"/>
  <c r="N15" i="32" s="1"/>
  <c r="N57" i="32"/>
  <c r="M19" i="32"/>
  <c r="O11" i="32" l="1"/>
  <c r="O14" i="32" s="1"/>
  <c r="O15" i="32" s="1"/>
  <c r="N19" i="32"/>
  <c r="O57" i="32"/>
  <c r="P11" i="32" l="1"/>
  <c r="P14" i="32" s="1"/>
  <c r="P15" i="32" s="1"/>
  <c r="P57" i="32"/>
  <c r="O19" i="32"/>
  <c r="Q11" i="32" l="1"/>
  <c r="Q14" i="32" s="1"/>
  <c r="Q15" i="32" s="1"/>
  <c r="Q57" i="32" s="1"/>
  <c r="D57" i="32" s="1"/>
  <c r="P19" i="32"/>
  <c r="Q19" i="32" l="1"/>
  <c r="J14" i="34" l="1"/>
  <c r="J16" i="34" s="1"/>
  <c r="K11" i="34" l="1"/>
  <c r="L11" i="34" l="1"/>
  <c r="K14" i="34"/>
  <c r="K15" i="34" s="1"/>
  <c r="L14" i="34" l="1"/>
  <c r="L15" i="34" s="1"/>
  <c r="M11" i="34"/>
  <c r="L57" i="34"/>
  <c r="K19" i="34"/>
  <c r="K17" i="34"/>
  <c r="M14" i="34" l="1"/>
  <c r="M15" i="34" s="1"/>
  <c r="N11" i="34"/>
  <c r="M57" i="34"/>
  <c r="L19" i="34"/>
  <c r="L17" i="34"/>
  <c r="N14" i="34" l="1"/>
  <c r="N15" i="34" s="1"/>
  <c r="O11" i="34"/>
  <c r="M17" i="34"/>
  <c r="M19" i="34"/>
  <c r="N57" i="34"/>
  <c r="O14" i="34" l="1"/>
  <c r="O15" i="34" s="1"/>
  <c r="P11" i="34"/>
  <c r="N19" i="34"/>
  <c r="O57" i="34"/>
  <c r="N17" i="34"/>
  <c r="Q11" i="34" l="1"/>
  <c r="Q14" i="34" s="1"/>
  <c r="Q15" i="34" s="1"/>
  <c r="P14" i="34"/>
  <c r="P15" i="34" s="1"/>
  <c r="O19" i="34"/>
  <c r="P57" i="34"/>
  <c r="O17" i="34"/>
  <c r="D44" i="34" l="1"/>
  <c r="D40" i="34"/>
  <c r="D42" i="34"/>
  <c r="P19" i="34"/>
  <c r="P17" i="34"/>
  <c r="E62" i="34" s="1"/>
  <c r="D41" i="34"/>
  <c r="Q19" i="34"/>
  <c r="Q57" i="34"/>
  <c r="D57" i="34" s="1"/>
  <c r="D43" i="34"/>
  <c r="D49" i="34" l="1"/>
  <c r="D51" i="34" s="1"/>
  <c r="D53" i="34" s="1"/>
  <c r="E66" i="34"/>
  <c r="E68" i="34" s="1"/>
  <c r="D52" i="34" l="1"/>
  <c r="E70" i="34"/>
  <c r="E72" i="34" s="1"/>
  <c r="E74" i="34" l="1"/>
  <c r="D51" i="32" l="1"/>
  <c r="D52" i="32" s="1"/>
  <c r="D42" i="32"/>
  <c r="D44" i="32"/>
  <c r="D41" i="32"/>
  <c r="D43" i="32"/>
  <c r="H18" i="32"/>
  <c r="D40" i="32"/>
  <c r="H17" i="32" l="1"/>
  <c r="I18" i="32"/>
  <c r="D53" i="32"/>
  <c r="G17" i="32"/>
  <c r="J18" i="32" l="1"/>
  <c r="I17" i="32"/>
  <c r="K18" i="32" l="1"/>
  <c r="J17" i="32"/>
  <c r="K17" i="32" l="1"/>
  <c r="L18" i="32"/>
  <c r="M18" i="32" l="1"/>
  <c r="L17" i="32"/>
  <c r="N18" i="32" l="1"/>
  <c r="M17" i="32"/>
  <c r="O18" i="32" l="1"/>
  <c r="N17" i="32"/>
  <c r="P18" i="32" l="1"/>
  <c r="P17" i="32" s="1"/>
  <c r="O17" i="32"/>
  <c r="E62" i="32" l="1"/>
  <c r="E66" i="32"/>
  <c r="E68" i="32" s="1"/>
  <c r="E70" i="32" l="1"/>
  <c r="E74" i="32" l="1"/>
  <c r="E72" i="32"/>
</calcChain>
</file>

<file path=xl/sharedStrings.xml><?xml version="1.0" encoding="utf-8"?>
<sst xmlns="http://schemas.openxmlformats.org/spreadsheetml/2006/main" count="99" uniqueCount="49">
  <si>
    <t>Bewertung</t>
  </si>
  <si>
    <t>Umsatz-Wachstum, %</t>
  </si>
  <si>
    <t>Unterbewertung</t>
  </si>
  <si>
    <t>Fairer Wert</t>
  </si>
  <si>
    <t>Umsatz</t>
  </si>
  <si>
    <t>Marktkapitalisierung, Mio.</t>
  </si>
  <si>
    <t>Verhältnis EBIT zu Konzerngewinn:</t>
  </si>
  <si>
    <t>EK Quote:</t>
  </si>
  <si>
    <t>Vereinfachter WACC:</t>
  </si>
  <si>
    <t>Schätzungen »</t>
  </si>
  <si>
    <t>Discounted Net-Profit Modell</t>
  </si>
  <si>
    <t>Anzahl Aktien gesamt, Mio.</t>
  </si>
  <si>
    <t>Abgezinster Gewinn:</t>
  </si>
  <si>
    <t xml:space="preserve">Kurs pro Aktie </t>
  </si>
  <si>
    <t>Überbewertung</t>
  </si>
  <si>
    <t>EBIT Marge, %</t>
  </si>
  <si>
    <t>EBIT</t>
  </si>
  <si>
    <t xml:space="preserve">Ausschüttungsquote </t>
  </si>
  <si>
    <t xml:space="preserve">Ausgeschüttete Gewinne </t>
  </si>
  <si>
    <t>Gesamtwert 2031</t>
  </si>
  <si>
    <t>Steigerung Gesamt bis 2031 in Prozent</t>
  </si>
  <si>
    <t>Renditeerwartung bis 2031 pro Jahr</t>
  </si>
  <si>
    <t>Eigenkapitalzins</t>
  </si>
  <si>
    <t>EK-Zins</t>
  </si>
  <si>
    <t xml:space="preserve">Umsatzmultiple </t>
  </si>
  <si>
    <t>Nullzinsmarkterwartung:</t>
  </si>
  <si>
    <t>Abgezinster Gewinn in Mrd. USD:</t>
  </si>
  <si>
    <t>Eigenkapitalverzinsung</t>
  </si>
  <si>
    <t>Risikoloser Basiszins:</t>
  </si>
  <si>
    <t>rF</t>
  </si>
  <si>
    <t>Risikoprämie:</t>
  </si>
  <si>
    <t>Marktrendite:</t>
  </si>
  <si>
    <t>rM</t>
  </si>
  <si>
    <t>ß</t>
  </si>
  <si>
    <t xml:space="preserve">Eigenkapitalkosten: </t>
  </si>
  <si>
    <t>rE</t>
  </si>
  <si>
    <t xml:space="preserve">Alle Angaben in Mio. </t>
  </si>
  <si>
    <t>Keine Rundung</t>
  </si>
  <si>
    <t>Beta Faktor:</t>
  </si>
  <si>
    <t>Gewinn je Aktie</t>
  </si>
  <si>
    <t>Gewinn je Aktie multipliziert mit fiktivem KGV</t>
  </si>
  <si>
    <t>Anzahl der Aktien in Mio. diluted (geschätzt)</t>
  </si>
  <si>
    <t>Gewinn (abzgl. Steuern, Zinsen)</t>
  </si>
  <si>
    <t>KGV Multiple in 2031</t>
  </si>
  <si>
    <t>2032ff.</t>
  </si>
  <si>
    <t xml:space="preserve"> </t>
  </si>
  <si>
    <t xml:space="preserve"> Annahmen für Thermo Fisher</t>
  </si>
  <si>
    <t>USD</t>
  </si>
  <si>
    <t>Quellensteuer USA (25 %)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</si>
</sst>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;@"/>
    <numFmt numFmtId="165" formatCode="0.0%"/>
  </numFmts>
  <fonts count="1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20"/>
      <color theme="1"/>
      <name val="Calibri"/>
      <family val="2"/>
      <scheme val="minor"/>
    </font>
    <font>
      <sz val="12"/>
      <color theme="1" tint="4.9989318521683403E-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DF2F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5117038483843"/>
        <bgColor theme="0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13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7" fillId="2" borderId="0" xfId="0" applyFont="1" applyFill="1"/>
    <xf numFmtId="0" fontId="0" fillId="3" borderId="0" xfId="0" applyFill="1"/>
    <xf numFmtId="0" fontId="5" fillId="3" borderId="0" xfId="0" applyFont="1" applyFill="1" applyAlignment="1">
      <alignment vertical="center" wrapText="1"/>
    </xf>
    <xf numFmtId="0" fontId="9" fillId="2" borderId="0" xfId="0" applyFont="1" applyFill="1"/>
    <xf numFmtId="9" fontId="9" fillId="2" borderId="0" xfId="1" applyFont="1" applyFill="1"/>
    <xf numFmtId="0" fontId="0" fillId="4" borderId="0" xfId="0" applyFill="1"/>
    <xf numFmtId="0" fontId="5" fillId="4" borderId="0" xfId="0" applyFont="1" applyFill="1"/>
    <xf numFmtId="0" fontId="4" fillId="4" borderId="0" xfId="0" applyFont="1" applyFill="1"/>
    <xf numFmtId="0" fontId="5" fillId="5" borderId="0" xfId="0" applyFont="1" applyFill="1"/>
    <xf numFmtId="165" fontId="3" fillId="7" borderId="0" xfId="1" applyNumberFormat="1" applyFont="1" applyFill="1"/>
    <xf numFmtId="0" fontId="0" fillId="2" borderId="1" xfId="0" applyFill="1" applyBorder="1" applyAlignment="1">
      <alignment wrapText="1"/>
    </xf>
    <xf numFmtId="0" fontId="8" fillId="2" borderId="2" xfId="0" applyFont="1" applyFill="1" applyBorder="1"/>
    <xf numFmtId="9" fontId="0" fillId="2" borderId="3" xfId="1" applyFont="1" applyFill="1" applyBorder="1"/>
    <xf numFmtId="0" fontId="0" fillId="6" borderId="0" xfId="0" applyFill="1" applyAlignment="1">
      <alignment wrapText="1"/>
    </xf>
    <xf numFmtId="0" fontId="0" fillId="6" borderId="0" xfId="0" applyFill="1"/>
    <xf numFmtId="0" fontId="5" fillId="6" borderId="0" xfId="0" applyFont="1" applyFill="1" applyAlignment="1">
      <alignment horizontal="right"/>
    </xf>
    <xf numFmtId="0" fontId="7" fillId="6" borderId="0" xfId="0" applyFont="1" applyFill="1"/>
    <xf numFmtId="0" fontId="10" fillId="6" borderId="0" xfId="0" applyFont="1" applyFill="1"/>
    <xf numFmtId="4" fontId="5" fillId="6" borderId="0" xfId="0" applyNumberFormat="1" applyFont="1" applyFill="1"/>
    <xf numFmtId="0" fontId="5" fillId="2" borderId="0" xfId="0" applyFont="1" applyFill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0" xfId="0" applyFill="1" applyBorder="1"/>
    <xf numFmtId="0" fontId="0" fillId="2" borderId="8" xfId="0" applyFill="1" applyBorder="1"/>
    <xf numFmtId="10" fontId="0" fillId="2" borderId="0" xfId="0" applyNumberFormat="1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11" fillId="2" borderId="0" xfId="0" applyFont="1" applyFill="1"/>
    <xf numFmtId="4" fontId="5" fillId="2" borderId="4" xfId="0" applyNumberFormat="1" applyFont="1" applyFill="1" applyBorder="1"/>
    <xf numFmtId="4" fontId="0" fillId="2" borderId="5" xfId="0" applyNumberFormat="1" applyFill="1" applyBorder="1"/>
    <xf numFmtId="3" fontId="0" fillId="2" borderId="5" xfId="0" applyNumberFormat="1" applyFill="1" applyBorder="1"/>
    <xf numFmtId="4" fontId="0" fillId="2" borderId="7" xfId="0" applyNumberFormat="1" applyFill="1" applyBorder="1"/>
    <xf numFmtId="4" fontId="0" fillId="2" borderId="0" xfId="0" applyNumberFormat="1" applyFill="1" applyBorder="1"/>
    <xf numFmtId="3" fontId="0" fillId="2" borderId="0" xfId="0" applyNumberFormat="1" applyFill="1" applyBorder="1"/>
    <xf numFmtId="165" fontId="3" fillId="2" borderId="0" xfId="1" applyNumberFormat="1" applyFont="1" applyFill="1" applyBorder="1"/>
    <xf numFmtId="3" fontId="5" fillId="2" borderId="0" xfId="0" applyNumberFormat="1" applyFont="1" applyFill="1" applyBorder="1"/>
    <xf numFmtId="165" fontId="5" fillId="2" borderId="0" xfId="1" applyNumberFormat="1" applyFont="1" applyFill="1" applyBorder="1"/>
    <xf numFmtId="9" fontId="0" fillId="2" borderId="0" xfId="1" applyNumberFormat="1" applyFont="1" applyFill="1" applyBorder="1"/>
    <xf numFmtId="9" fontId="0" fillId="2" borderId="0" xfId="0" applyNumberFormat="1" applyFill="1" applyBorder="1"/>
    <xf numFmtId="9" fontId="5" fillId="2" borderId="0" xfId="0" applyNumberFormat="1" applyFont="1" applyFill="1" applyBorder="1"/>
    <xf numFmtId="9" fontId="0" fillId="2" borderId="0" xfId="1" applyFont="1" applyFill="1" applyBorder="1"/>
    <xf numFmtId="10" fontId="5" fillId="2" borderId="10" xfId="0" applyNumberFormat="1" applyFont="1" applyFill="1" applyBorder="1"/>
    <xf numFmtId="0" fontId="5" fillId="8" borderId="0" xfId="0" applyFont="1" applyFill="1" applyAlignment="1">
      <alignment vertical="center" wrapText="1"/>
    </xf>
    <xf numFmtId="0" fontId="0" fillId="8" borderId="0" xfId="0" applyFill="1"/>
    <xf numFmtId="4" fontId="9" fillId="8" borderId="0" xfId="0" applyNumberFormat="1" applyFont="1" applyFill="1"/>
    <xf numFmtId="0" fontId="5" fillId="8" borderId="0" xfId="0" applyFont="1" applyFill="1"/>
    <xf numFmtId="1" fontId="3" fillId="8" borderId="0" xfId="1" applyNumberFormat="1" applyFont="1" applyFill="1"/>
    <xf numFmtId="10" fontId="5" fillId="8" borderId="0" xfId="1" applyNumberFormat="1" applyFont="1" applyFill="1"/>
    <xf numFmtId="0" fontId="0" fillId="2" borderId="1" xfId="0" applyFill="1" applyBorder="1"/>
    <xf numFmtId="0" fontId="9" fillId="2" borderId="2" xfId="0" applyFont="1" applyFill="1" applyBorder="1"/>
    <xf numFmtId="2" fontId="7" fillId="2" borderId="2" xfId="0" applyNumberFormat="1" applyFont="1" applyFill="1" applyBorder="1"/>
    <xf numFmtId="2" fontId="7" fillId="2" borderId="3" xfId="0" applyNumberFormat="1" applyFont="1" applyFill="1" applyBorder="1"/>
    <xf numFmtId="0" fontId="10" fillId="7" borderId="0" xfId="0" applyFont="1" applyFill="1" applyAlignment="1">
      <alignment horizontal="right" vertical="center"/>
    </xf>
    <xf numFmtId="4" fontId="0" fillId="8" borderId="0" xfId="0" applyNumberFormat="1" applyFill="1"/>
    <xf numFmtId="9" fontId="0" fillId="9" borderId="0" xfId="1" applyFont="1" applyFill="1"/>
    <xf numFmtId="9" fontId="5" fillId="8" borderId="0" xfId="1" applyFont="1" applyFill="1"/>
    <xf numFmtId="0" fontId="0" fillId="2" borderId="4" xfId="0" applyFill="1" applyBorder="1"/>
    <xf numFmtId="4" fontId="0" fillId="2" borderId="8" xfId="0" applyNumberFormat="1" applyFill="1" applyBorder="1"/>
    <xf numFmtId="3" fontId="6" fillId="2" borderId="8" xfId="0" quotePrefix="1" applyNumberFormat="1" applyFont="1" applyFill="1" applyBorder="1"/>
    <xf numFmtId="10" fontId="0" fillId="2" borderId="7" xfId="0" applyNumberFormat="1" applyFill="1" applyBorder="1"/>
    <xf numFmtId="4" fontId="12" fillId="2" borderId="8" xfId="0" quotePrefix="1" applyNumberFormat="1" applyFont="1" applyFill="1" applyBorder="1"/>
    <xf numFmtId="9" fontId="0" fillId="2" borderId="8" xfId="1" applyFont="1" applyFill="1" applyBorder="1"/>
    <xf numFmtId="0" fontId="0" fillId="10" borderId="9" xfId="0" applyFill="1" applyBorder="1"/>
    <xf numFmtId="0" fontId="0" fillId="10" borderId="10" xfId="0" applyFill="1" applyBorder="1"/>
    <xf numFmtId="10" fontId="5" fillId="2" borderId="0" xfId="1" applyNumberFormat="1" applyFont="1" applyFill="1"/>
    <xf numFmtId="1" fontId="3" fillId="2" borderId="0" xfId="1" applyNumberFormat="1" applyFont="1" applyFill="1"/>
    <xf numFmtId="0" fontId="0" fillId="2" borderId="5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9" fontId="0" fillId="2" borderId="0" xfId="0" applyNumberFormat="1" applyFill="1" applyBorder="1" applyAlignment="1">
      <alignment horizontal="center"/>
    </xf>
    <xf numFmtId="9" fontId="0" fillId="2" borderId="0" xfId="1" applyFont="1" applyFill="1"/>
    <xf numFmtId="4" fontId="0" fillId="8" borderId="0" xfId="0" applyNumberFormat="1" applyFont="1" applyFill="1"/>
    <xf numFmtId="165" fontId="0" fillId="7" borderId="0" xfId="1" applyNumberFormat="1" applyFont="1" applyFill="1"/>
    <xf numFmtId="4" fontId="0" fillId="7" borderId="0" xfId="0" applyNumberFormat="1" applyFont="1" applyFill="1"/>
    <xf numFmtId="10" fontId="0" fillId="8" borderId="0" xfId="0" applyNumberFormat="1" applyFill="1"/>
    <xf numFmtId="4" fontId="3" fillId="8" borderId="0" xfId="1" applyNumberFormat="1" applyFont="1" applyFill="1"/>
    <xf numFmtId="0" fontId="0" fillId="2" borderId="0" xfId="0" quotePrefix="1" applyFill="1"/>
    <xf numFmtId="0" fontId="5" fillId="2" borderId="7" xfId="0" applyFont="1" applyFill="1" applyBorder="1"/>
    <xf numFmtId="0" fontId="5" fillId="2" borderId="0" xfId="0" applyFont="1" applyFill="1" applyBorder="1"/>
    <xf numFmtId="10" fontId="5" fillId="2" borderId="0" xfId="0" applyNumberFormat="1" applyFont="1" applyFill="1" applyBorder="1"/>
    <xf numFmtId="10" fontId="0" fillId="2" borderId="5" xfId="0" applyNumberForma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10" fontId="0" fillId="2" borderId="0" xfId="1" applyNumberFormat="1" applyFont="1" applyFill="1" applyBorder="1" applyAlignment="1">
      <alignment horizontal="right"/>
    </xf>
    <xf numFmtId="10" fontId="0" fillId="2" borderId="0" xfId="0" applyNumberFormat="1" applyFill="1" applyBorder="1" applyAlignment="1">
      <alignment horizontal="right"/>
    </xf>
    <xf numFmtId="4" fontId="9" fillId="5" borderId="0" xfId="0" applyNumberFormat="1" applyFont="1" applyFill="1"/>
    <xf numFmtId="9" fontId="0" fillId="2" borderId="0" xfId="0" applyNumberFormat="1" applyFill="1"/>
    <xf numFmtId="164" fontId="10" fillId="6" borderId="0" xfId="0" applyNumberFormat="1" applyFont="1" applyFill="1"/>
    <xf numFmtId="10" fontId="0" fillId="7" borderId="0" xfId="1" applyNumberFormat="1" applyFont="1" applyFill="1"/>
    <xf numFmtId="165" fontId="9" fillId="7" borderId="0" xfId="1" applyNumberFormat="1" applyFont="1" applyFill="1"/>
    <xf numFmtId="9" fontId="9" fillId="5" borderId="0" xfId="1" applyFont="1" applyFill="1"/>
    <xf numFmtId="2" fontId="0" fillId="8" borderId="0" xfId="0" applyNumberFormat="1" applyFill="1"/>
    <xf numFmtId="10" fontId="9" fillId="5" borderId="0" xfId="1" applyNumberFormat="1" applyFont="1" applyFill="1"/>
    <xf numFmtId="165" fontId="9" fillId="5" borderId="0" xfId="1" applyNumberFormat="1" applyFont="1" applyFill="1"/>
    <xf numFmtId="0" fontId="9" fillId="2" borderId="4" xfId="0" applyFont="1" applyFill="1" applyBorder="1"/>
    <xf numFmtId="0" fontId="9" fillId="2" borderId="5" xfId="0" applyFont="1" applyFill="1" applyBorder="1"/>
    <xf numFmtId="10" fontId="9" fillId="2" borderId="5" xfId="0" applyNumberFormat="1" applyFont="1" applyFill="1" applyBorder="1" applyAlignment="1">
      <alignment horizontal="right"/>
    </xf>
    <xf numFmtId="0" fontId="9" fillId="2" borderId="7" xfId="0" applyFont="1" applyFill="1" applyBorder="1"/>
    <xf numFmtId="0" fontId="9" fillId="2" borderId="0" xfId="0" applyFont="1" applyFill="1" applyBorder="1"/>
    <xf numFmtId="0" fontId="9" fillId="2" borderId="0" xfId="0" applyFont="1" applyFill="1" applyBorder="1" applyAlignment="1">
      <alignment horizontal="right"/>
    </xf>
    <xf numFmtId="10" fontId="9" fillId="2" borderId="0" xfId="1" applyNumberFormat="1" applyFont="1" applyFill="1" applyBorder="1" applyAlignment="1">
      <alignment horizontal="right"/>
    </xf>
    <xf numFmtId="10" fontId="9" fillId="2" borderId="0" xfId="0" applyNumberFormat="1" applyFont="1" applyFill="1" applyBorder="1" applyAlignment="1">
      <alignment horizontal="right"/>
    </xf>
    <xf numFmtId="0" fontId="10" fillId="2" borderId="7" xfId="0" applyFont="1" applyFill="1" applyBorder="1"/>
    <xf numFmtId="0" fontId="10" fillId="2" borderId="0" xfId="0" applyFont="1" applyFill="1" applyBorder="1"/>
    <xf numFmtId="10" fontId="10" fillId="2" borderId="0" xfId="0" applyNumberFormat="1" applyFont="1" applyFill="1" applyBorder="1"/>
    <xf numFmtId="9" fontId="9" fillId="6" borderId="0" xfId="1" applyFont="1" applyFill="1"/>
    <xf numFmtId="0" fontId="0" fillId="10" borderId="9" xfId="0" applyFont="1" applyFill="1" applyBorder="1"/>
    <xf numFmtId="0" fontId="0" fillId="10" borderId="10" xfId="0" applyFont="1" applyFill="1" applyBorder="1"/>
    <xf numFmtId="10" fontId="0" fillId="2" borderId="0" xfId="1" applyNumberFormat="1" applyFont="1" applyFill="1"/>
    <xf numFmtId="10" fontId="0" fillId="10" borderId="10" xfId="1" applyNumberFormat="1" applyFont="1" applyFill="1" applyBorder="1"/>
  </cellXfs>
  <cellStyles count="7">
    <cellStyle name="Prozent" xfId="1" builtinId="5"/>
    <cellStyle name="Prozent 2" xfId="2" xr:uid="{00000000-0005-0000-0000-000001000000}"/>
    <cellStyle name="Prozent 3" xfId="4" xr:uid="{00000000-0005-0000-0000-000002000000}"/>
    <cellStyle name="Prozent 4" xfId="6" xr:uid="{DE5E001C-AEE3-45AD-B913-D01465EAAE5D}"/>
    <cellStyle name="Standard" xfId="0" builtinId="0"/>
    <cellStyle name="Standard 2" xfId="3" xr:uid="{00000000-0005-0000-0000-000004000000}"/>
    <cellStyle name="Standard 3" xfId="5" xr:uid="{D21CDE20-7D2B-4947-8C50-96BDB9D63654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99FF"/>
      <color rgb="FFFFCC99"/>
      <color rgb="FFFFCC66"/>
      <color rgb="FFFFEB7D"/>
      <color rgb="FF009900"/>
      <color rgb="FFCCCCFF"/>
      <color rgb="FF9966FF"/>
      <color rgb="FF9900CC"/>
      <color rgb="FFFFD802"/>
      <color rgb="FFFFFA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148166</xdr:colOff>
      <xdr:row>22</xdr:row>
      <xdr:rowOff>84666</xdr:rowOff>
    </xdr:from>
    <xdr:to>
      <xdr:col>13</xdr:col>
      <xdr:colOff>672732</xdr:colOff>
      <xdr:row>29</xdr:row>
      <xdr:rowOff>73441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480E8E9-90E0-4C71-8FA2-90316083A3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64091" y="4656666"/>
          <a:ext cx="3582091" cy="1388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148166</xdr:colOff>
      <xdr:row>22</xdr:row>
      <xdr:rowOff>84666</xdr:rowOff>
    </xdr:from>
    <xdr:to>
      <xdr:col>13</xdr:col>
      <xdr:colOff>672732</xdr:colOff>
      <xdr:row>29</xdr:row>
      <xdr:rowOff>73441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774A3B2B-061E-42EB-AB1A-BED6F37A5A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64091" y="4656666"/>
          <a:ext cx="3582091" cy="1388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0EB64-3C98-49AD-AFA7-32CB9200B01E}">
  <dimension ref="A2:AB74"/>
  <sheetViews>
    <sheetView zoomScaleNormal="100" workbookViewId="0">
      <selection activeCell="D51" sqref="D51"/>
    </sheetView>
  </sheetViews>
  <sheetFormatPr baseColWidth="10" defaultColWidth="10.625" defaultRowHeight="15.75" x14ac:dyDescent="0.25"/>
  <cols>
    <col min="1" max="1" width="27.125" style="1" bestFit="1" customWidth="1"/>
    <col min="2" max="2" width="32.375" style="1" customWidth="1"/>
    <col min="3" max="3" width="16" style="1" bestFit="1" customWidth="1"/>
    <col min="4" max="4" width="16.125" style="1" customWidth="1"/>
    <col min="5" max="5" width="14.125" style="1" customWidth="1"/>
    <col min="6" max="6" width="13.625" style="1" customWidth="1"/>
    <col min="7" max="7" width="14.875" style="1" customWidth="1"/>
    <col min="8" max="8" width="12.125" style="1" customWidth="1"/>
    <col min="9" max="9" width="12.375" style="1" bestFit="1" customWidth="1"/>
    <col min="10" max="16" width="13.375" style="1" bestFit="1" customWidth="1"/>
    <col min="17" max="18" width="10.625" style="1" customWidth="1"/>
    <col min="19" max="16384" width="10.625" style="1"/>
  </cols>
  <sheetData>
    <row r="2" spans="1:28" ht="26.25" x14ac:dyDescent="0.4">
      <c r="B2" s="32" t="s">
        <v>10</v>
      </c>
    </row>
    <row r="4" spans="1:28" x14ac:dyDescent="0.25">
      <c r="B4" s="22" t="s">
        <v>46</v>
      </c>
      <c r="L4" s="26"/>
      <c r="M4" s="26"/>
      <c r="N4" s="26"/>
      <c r="O4" s="26"/>
      <c r="P4" s="26"/>
      <c r="Q4" s="26"/>
      <c r="R4" s="26"/>
      <c r="S4" s="26"/>
    </row>
    <row r="5" spans="1:28" x14ac:dyDescent="0.25">
      <c r="L5" s="26"/>
      <c r="M5" s="26"/>
      <c r="N5" s="26"/>
      <c r="O5" s="26"/>
      <c r="P5" s="26"/>
      <c r="Q5" s="26"/>
      <c r="R5" s="26"/>
      <c r="S5" s="26"/>
    </row>
    <row r="6" spans="1:28" x14ac:dyDescent="0.25">
      <c r="B6" s="1" t="s">
        <v>36</v>
      </c>
      <c r="L6" s="26"/>
      <c r="M6" s="26"/>
      <c r="N6" s="26"/>
      <c r="O6" s="26"/>
      <c r="P6" s="26"/>
      <c r="Q6" s="26"/>
      <c r="R6" s="26"/>
      <c r="S6" s="26"/>
    </row>
    <row r="9" spans="1:28" s="8" customFormat="1" x14ac:dyDescent="0.25">
      <c r="G9" s="9" t="s">
        <v>9</v>
      </c>
      <c r="H9" s="10"/>
      <c r="I9" s="10"/>
      <c r="J9" s="10"/>
      <c r="K9" s="10"/>
      <c r="L9" s="10"/>
      <c r="M9" s="10"/>
      <c r="N9" s="10"/>
      <c r="O9" s="10"/>
      <c r="P9" s="10"/>
      <c r="Q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25">
      <c r="A10" s="4"/>
      <c r="B10" s="4"/>
      <c r="C10" s="11">
        <v>2018</v>
      </c>
      <c r="D10" s="11">
        <v>2019</v>
      </c>
      <c r="E10" s="11">
        <v>2020</v>
      </c>
      <c r="F10" s="11">
        <v>2021</v>
      </c>
      <c r="G10" s="57">
        <v>2022</v>
      </c>
      <c r="H10" s="57">
        <v>2023</v>
      </c>
      <c r="I10" s="57">
        <v>2024</v>
      </c>
      <c r="J10" s="57">
        <v>2025</v>
      </c>
      <c r="K10" s="57">
        <v>2026</v>
      </c>
      <c r="L10" s="57">
        <v>2027</v>
      </c>
      <c r="M10" s="57">
        <v>2028</v>
      </c>
      <c r="N10" s="57">
        <v>2029</v>
      </c>
      <c r="O10" s="57">
        <v>2030</v>
      </c>
      <c r="P10" s="57">
        <v>2031</v>
      </c>
      <c r="Q10" s="57" t="s">
        <v>44</v>
      </c>
    </row>
    <row r="11" spans="1:28" x14ac:dyDescent="0.25">
      <c r="A11" s="5"/>
      <c r="B11" s="4" t="s">
        <v>4</v>
      </c>
      <c r="C11" s="88">
        <v>24358</v>
      </c>
      <c r="D11" s="88">
        <v>25542</v>
      </c>
      <c r="E11" s="88">
        <v>32218</v>
      </c>
      <c r="F11" s="88">
        <v>39211</v>
      </c>
      <c r="G11" s="77">
        <v>43209.97</v>
      </c>
      <c r="H11" s="77">
        <v>44478.63</v>
      </c>
      <c r="I11" s="77">
        <v>48206.71</v>
      </c>
      <c r="J11" s="77">
        <v>52259.42</v>
      </c>
      <c r="K11" s="77">
        <f>J11*(1+K12)</f>
        <v>55917.579400000002</v>
      </c>
      <c r="L11" s="77">
        <f>K11*(1+L12)</f>
        <v>59831.809958000005</v>
      </c>
      <c r="M11" s="77">
        <f t="shared" ref="M11:Q11" si="0">L11*(1+M12)</f>
        <v>63421.718555480009</v>
      </c>
      <c r="N11" s="77">
        <f t="shared" si="0"/>
        <v>66592.804483254018</v>
      </c>
      <c r="O11" s="77">
        <f t="shared" si="0"/>
        <v>69256.516662584181</v>
      </c>
      <c r="P11" s="77">
        <f t="shared" si="0"/>
        <v>70641.646995835865</v>
      </c>
      <c r="Q11" s="77">
        <f t="shared" si="0"/>
        <v>71701.271700773403</v>
      </c>
    </row>
    <row r="12" spans="1:28" x14ac:dyDescent="0.25">
      <c r="A12" s="5"/>
      <c r="B12" s="4" t="s">
        <v>1</v>
      </c>
      <c r="C12" s="93"/>
      <c r="D12" s="96">
        <f>D11/C11-1</f>
        <v>4.860826011987851E-2</v>
      </c>
      <c r="E12" s="96">
        <f t="shared" ref="E12:F12" si="1">E11/D11-1</f>
        <v>0.2613734241641219</v>
      </c>
      <c r="F12" s="96">
        <f t="shared" si="1"/>
        <v>0.21705257930349497</v>
      </c>
      <c r="G12" s="92">
        <f>G11/F11-1</f>
        <v>0.10198592231771708</v>
      </c>
      <c r="H12" s="92">
        <f t="shared" ref="H12:J12" si="2">H11/G11-1</f>
        <v>2.9360353640606407E-2</v>
      </c>
      <c r="I12" s="92">
        <f t="shared" si="2"/>
        <v>8.3817329805347063E-2</v>
      </c>
      <c r="J12" s="92">
        <f t="shared" si="2"/>
        <v>8.4069416892378568E-2</v>
      </c>
      <c r="K12" s="92">
        <v>7.0000000000000007E-2</v>
      </c>
      <c r="L12" s="76">
        <v>7.0000000000000007E-2</v>
      </c>
      <c r="M12" s="76">
        <v>0.06</v>
      </c>
      <c r="N12" s="76">
        <v>0.05</v>
      </c>
      <c r="O12" s="76">
        <v>0.04</v>
      </c>
      <c r="P12" s="76">
        <v>0.02</v>
      </c>
      <c r="Q12" s="12">
        <v>1.4999999999999999E-2</v>
      </c>
    </row>
    <row r="13" spans="1:28" ht="15.95" customHeight="1" x14ac:dyDescent="0.25">
      <c r="A13" s="5"/>
      <c r="B13" s="4" t="s">
        <v>15</v>
      </c>
      <c r="C13" s="95">
        <v>0.159</v>
      </c>
      <c r="D13" s="95">
        <v>0.16669999999999999</v>
      </c>
      <c r="E13" s="95">
        <v>0.246</v>
      </c>
      <c r="F13" s="95">
        <v>0.2631</v>
      </c>
      <c r="G13" s="91">
        <v>0.252</v>
      </c>
      <c r="H13" s="91">
        <v>0.25130000000000002</v>
      </c>
      <c r="I13" s="91">
        <v>0.25419999999999998</v>
      </c>
      <c r="J13" s="91">
        <v>0.25230000000000002</v>
      </c>
      <c r="K13" s="91">
        <v>0.255</v>
      </c>
      <c r="L13" s="91">
        <v>0.255</v>
      </c>
      <c r="M13" s="91">
        <v>0.26</v>
      </c>
      <c r="N13" s="91">
        <v>0.26</v>
      </c>
      <c r="O13" s="91">
        <v>0.26</v>
      </c>
      <c r="P13" s="91">
        <v>0.26</v>
      </c>
      <c r="Q13" s="91">
        <v>0.26</v>
      </c>
    </row>
    <row r="14" spans="1:28" ht="17.100000000000001" customHeight="1" x14ac:dyDescent="0.25">
      <c r="A14" s="5"/>
      <c r="B14" s="4" t="s">
        <v>16</v>
      </c>
      <c r="C14" s="88">
        <f>C11*C13</f>
        <v>3872.922</v>
      </c>
      <c r="D14" s="88">
        <f t="shared" ref="D14:F14" si="3">D11*D13</f>
        <v>4257.8513999999996</v>
      </c>
      <c r="E14" s="88">
        <f t="shared" si="3"/>
        <v>7925.6279999999997</v>
      </c>
      <c r="F14" s="88">
        <f t="shared" si="3"/>
        <v>10316.4141</v>
      </c>
      <c r="G14" s="77">
        <f>G11*G13</f>
        <v>10888.91244</v>
      </c>
      <c r="H14" s="77">
        <f t="shared" ref="H14:J14" si="4">H11*H13</f>
        <v>11177.479719000001</v>
      </c>
      <c r="I14" s="77">
        <f t="shared" si="4"/>
        <v>12254.145681999998</v>
      </c>
      <c r="J14" s="77">
        <f t="shared" si="4"/>
        <v>13185.051666000001</v>
      </c>
      <c r="K14" s="77">
        <f t="shared" ref="K14:Q14" si="5">K11*K13</f>
        <v>14258.982747</v>
      </c>
      <c r="L14" s="77">
        <f t="shared" si="5"/>
        <v>15257.111539290001</v>
      </c>
      <c r="M14" s="77">
        <f t="shared" si="5"/>
        <v>16489.646824424803</v>
      </c>
      <c r="N14" s="77">
        <f t="shared" si="5"/>
        <v>17314.129165646045</v>
      </c>
      <c r="O14" s="77">
        <f t="shared" si="5"/>
        <v>18006.694332271887</v>
      </c>
      <c r="P14" s="77">
        <f t="shared" si="5"/>
        <v>18366.828218917326</v>
      </c>
      <c r="Q14" s="77">
        <f t="shared" si="5"/>
        <v>18642.330642201086</v>
      </c>
    </row>
    <row r="15" spans="1:28" x14ac:dyDescent="0.25">
      <c r="A15" s="108">
        <v>0.2</v>
      </c>
      <c r="B15" s="4" t="s">
        <v>42</v>
      </c>
      <c r="C15" s="88">
        <v>2937.5747999999999</v>
      </c>
      <c r="D15" s="88">
        <v>3695.9274</v>
      </c>
      <c r="E15" s="88">
        <v>6375.9421999999995</v>
      </c>
      <c r="F15" s="88">
        <v>7724.567</v>
      </c>
      <c r="G15" s="77">
        <v>9056.8097120000002</v>
      </c>
      <c r="H15" s="77">
        <v>9447.261011999999</v>
      </c>
      <c r="I15" s="77">
        <v>10456.035399</v>
      </c>
      <c r="J15" s="77">
        <v>11753.143558</v>
      </c>
      <c r="K15" s="77">
        <f>K14*(1-$A$15)</f>
        <v>11407.1861976</v>
      </c>
      <c r="L15" s="77">
        <f>L14*(1-$A$15)</f>
        <v>12205.689231432001</v>
      </c>
      <c r="M15" s="77">
        <f t="shared" ref="M15:P15" si="6">M14*(1-$A$15)</f>
        <v>13191.717459539843</v>
      </c>
      <c r="N15" s="77">
        <f t="shared" si="6"/>
        <v>13851.303332516836</v>
      </c>
      <c r="O15" s="77">
        <f t="shared" si="6"/>
        <v>14405.355465817511</v>
      </c>
      <c r="P15" s="77">
        <f t="shared" si="6"/>
        <v>14693.462575133861</v>
      </c>
      <c r="Q15" s="77">
        <f>Q14*(1-$A$15)</f>
        <v>14913.864513760869</v>
      </c>
    </row>
    <row r="16" spans="1:28" ht="32.25" hidden="1" thickBot="1" x14ac:dyDescent="0.3">
      <c r="A16" s="13" t="s">
        <v>6</v>
      </c>
      <c r="B16" s="14"/>
      <c r="C16" s="15">
        <f t="shared" ref="C16:J16" si="7">C15/C14</f>
        <v>0.75849056603773579</v>
      </c>
      <c r="D16" s="15">
        <f t="shared" si="7"/>
        <v>0.86802639472105592</v>
      </c>
      <c r="E16" s="15">
        <f t="shared" si="7"/>
        <v>0.80447154471544713</v>
      </c>
      <c r="F16" s="15">
        <f t="shared" si="7"/>
        <v>0.7487647282402129</v>
      </c>
      <c r="G16" s="15">
        <f t="shared" si="7"/>
        <v>0.83174603174603179</v>
      </c>
      <c r="H16" s="15">
        <f t="shared" si="7"/>
        <v>0.84520493434142441</v>
      </c>
      <c r="I16" s="15">
        <f t="shared" si="7"/>
        <v>0.85326514555468147</v>
      </c>
      <c r="J16" s="15">
        <f t="shared" si="7"/>
        <v>0.89139912802219567</v>
      </c>
    </row>
    <row r="17" spans="1:18" x14ac:dyDescent="0.25">
      <c r="A17" s="2" t="s">
        <v>39</v>
      </c>
      <c r="C17" s="88"/>
      <c r="D17" s="88"/>
      <c r="E17" s="88"/>
      <c r="F17" s="88"/>
      <c r="G17" s="77">
        <f>G15/G18</f>
        <v>22.813122700251888</v>
      </c>
      <c r="H17" s="77">
        <f t="shared" ref="H17:P17" si="8">H15/H18</f>
        <v>23.796627234256924</v>
      </c>
      <c r="I17" s="77">
        <f t="shared" si="8"/>
        <v>26.33762065239295</v>
      </c>
      <c r="J17" s="77">
        <f t="shared" si="8"/>
        <v>29.604895612090679</v>
      </c>
      <c r="K17" s="77">
        <f t="shared" si="8"/>
        <v>28.733466492695214</v>
      </c>
      <c r="L17" s="77">
        <f t="shared" si="8"/>
        <v>30.744809147183883</v>
      </c>
      <c r="M17" s="77">
        <f t="shared" si="8"/>
        <v>33.228507454760312</v>
      </c>
      <c r="N17" s="77">
        <f t="shared" si="8"/>
        <v>34.889932827498328</v>
      </c>
      <c r="O17" s="77">
        <f t="shared" si="8"/>
        <v>36.285530140598262</v>
      </c>
      <c r="P17" s="77">
        <f t="shared" si="8"/>
        <v>37.011240743410227</v>
      </c>
      <c r="Q17" s="77"/>
    </row>
    <row r="18" spans="1:18" ht="32.25" thickBot="1" x14ac:dyDescent="0.3">
      <c r="A18" s="2" t="s">
        <v>41</v>
      </c>
      <c r="C18" s="88"/>
      <c r="D18" s="88"/>
      <c r="E18" s="88"/>
      <c r="F18" s="88"/>
      <c r="G18" s="77">
        <f>C50</f>
        <v>397</v>
      </c>
      <c r="H18" s="77">
        <f>G18*1</f>
        <v>397</v>
      </c>
      <c r="I18" s="77">
        <f>H18*1</f>
        <v>397</v>
      </c>
      <c r="J18" s="77">
        <f t="shared" ref="J18:P18" si="9">I18*1</f>
        <v>397</v>
      </c>
      <c r="K18" s="77">
        <f t="shared" si="9"/>
        <v>397</v>
      </c>
      <c r="L18" s="77">
        <f t="shared" si="9"/>
        <v>397</v>
      </c>
      <c r="M18" s="77">
        <f t="shared" si="9"/>
        <v>397</v>
      </c>
      <c r="N18" s="77">
        <f t="shared" si="9"/>
        <v>397</v>
      </c>
      <c r="O18" s="77">
        <f t="shared" si="9"/>
        <v>397</v>
      </c>
      <c r="P18" s="77">
        <f t="shared" si="9"/>
        <v>397</v>
      </c>
      <c r="Q18" s="77"/>
    </row>
    <row r="19" spans="1:18" ht="16.5" thickBot="1" x14ac:dyDescent="0.3">
      <c r="A19" s="2"/>
      <c r="E19" s="53" t="s">
        <v>12</v>
      </c>
      <c r="F19" s="54"/>
      <c r="G19" s="55">
        <f>G15/(1+$C$55)</f>
        <v>8358.8460655283816</v>
      </c>
      <c r="H19" s="55">
        <f>H15/(1+$C$55)^2</f>
        <v>8047.2609229051204</v>
      </c>
      <c r="I19" s="55">
        <f>I15/(1+$C$55)^3</f>
        <v>8220.1605117443305</v>
      </c>
      <c r="J19" s="55">
        <f>J15/(1+$C$55)^4</f>
        <v>8527.8269367331068</v>
      </c>
      <c r="K19" s="55">
        <f>K15/(1+$C$55)^5</f>
        <v>7638.9550101028444</v>
      </c>
      <c r="L19" s="55">
        <f>L15/(1+$C$55)^6</f>
        <v>7543.7765212829217</v>
      </c>
      <c r="M19" s="55">
        <f>M15/(1+$C$55)^7</f>
        <v>7524.8687867588651</v>
      </c>
      <c r="N19" s="55">
        <f>N15/(1+$C$55)^8</f>
        <v>7292.2124837072524</v>
      </c>
      <c r="O19" s="55">
        <f>O15/(1+$C$55)^9</f>
        <v>6999.4471463364498</v>
      </c>
      <c r="P19" s="55">
        <f>P15/(1+$C$55)^10</f>
        <v>6589.2349693245778</v>
      </c>
      <c r="Q19" s="56">
        <f>(Q15/(C55-Q12))/(1+C55)^10</f>
        <v>97636.109399480934</v>
      </c>
    </row>
    <row r="20" spans="1:18" x14ac:dyDescent="0.25">
      <c r="A20" s="2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6"/>
      <c r="P20" s="3"/>
      <c r="Q20" s="3"/>
      <c r="R20" s="3"/>
    </row>
    <row r="21" spans="1:18" x14ac:dyDescent="0.25">
      <c r="A21" s="2"/>
      <c r="J21" s="111"/>
      <c r="K21" s="111"/>
      <c r="L21" s="111"/>
      <c r="M21" s="111"/>
      <c r="N21" s="111"/>
      <c r="O21" s="111"/>
      <c r="P21" s="111"/>
      <c r="Q21" s="111"/>
      <c r="R21" s="3"/>
    </row>
    <row r="22" spans="1:18" ht="16.5" thickBot="1" x14ac:dyDescent="0.3">
      <c r="P22" s="3"/>
      <c r="Q22" s="3"/>
      <c r="R22" s="3"/>
    </row>
    <row r="23" spans="1:18" x14ac:dyDescent="0.25">
      <c r="A23" s="33" t="s">
        <v>27</v>
      </c>
      <c r="B23" s="34"/>
      <c r="C23" s="34"/>
      <c r="D23" s="35"/>
      <c r="E23" s="23"/>
      <c r="F23" s="34"/>
      <c r="G23" s="97" t="s">
        <v>28</v>
      </c>
      <c r="H23" s="98"/>
      <c r="I23" s="99">
        <v>2.5000000000000001E-2</v>
      </c>
      <c r="J23" s="24" t="s">
        <v>29</v>
      </c>
    </row>
    <row r="24" spans="1:18" x14ac:dyDescent="0.25">
      <c r="A24" s="36"/>
      <c r="B24" s="37"/>
      <c r="C24" s="37"/>
      <c r="D24" s="38"/>
      <c r="E24" s="37"/>
      <c r="F24" s="37"/>
      <c r="G24" s="100"/>
      <c r="H24" s="101"/>
      <c r="I24" s="102"/>
      <c r="J24" s="27"/>
    </row>
    <row r="25" spans="1:18" x14ac:dyDescent="0.25">
      <c r="A25" s="36"/>
      <c r="B25" s="37"/>
      <c r="C25" s="37"/>
      <c r="D25" s="39"/>
      <c r="E25" s="26"/>
      <c r="F25" s="37"/>
      <c r="G25" s="100" t="s">
        <v>30</v>
      </c>
      <c r="H25" s="101"/>
      <c r="I25" s="103">
        <f>(I27-I23)*I29</f>
        <v>5.850000000000001E-2</v>
      </c>
      <c r="J25" s="27"/>
    </row>
    <row r="26" spans="1:18" x14ac:dyDescent="0.25">
      <c r="A26" s="36"/>
      <c r="B26" s="37"/>
      <c r="C26" s="37"/>
      <c r="D26" s="39"/>
      <c r="E26" s="26"/>
      <c r="F26" s="37"/>
      <c r="G26" s="100"/>
      <c r="H26" s="101"/>
      <c r="I26" s="102"/>
      <c r="J26" s="27"/>
    </row>
    <row r="27" spans="1:18" x14ac:dyDescent="0.25">
      <c r="A27" s="36"/>
      <c r="B27" s="37"/>
      <c r="C27" s="37"/>
      <c r="D27" s="39"/>
      <c r="E27" s="26"/>
      <c r="F27" s="37"/>
      <c r="G27" s="100" t="s">
        <v>31</v>
      </c>
      <c r="H27" s="101"/>
      <c r="I27" s="104">
        <v>7.0000000000000007E-2</v>
      </c>
      <c r="J27" s="27" t="s">
        <v>32</v>
      </c>
    </row>
    <row r="28" spans="1:18" x14ac:dyDescent="0.25">
      <c r="A28" s="36"/>
      <c r="B28" s="37"/>
      <c r="C28" s="37"/>
      <c r="D28" s="40"/>
      <c r="E28" s="26"/>
      <c r="F28" s="37"/>
      <c r="G28" s="100"/>
      <c r="H28" s="101"/>
      <c r="I28" s="102"/>
      <c r="J28" s="27"/>
    </row>
    <row r="29" spans="1:18" x14ac:dyDescent="0.25">
      <c r="A29" s="36"/>
      <c r="B29" s="37"/>
      <c r="C29" s="37"/>
      <c r="D29" s="40"/>
      <c r="E29" s="26"/>
      <c r="F29" s="37"/>
      <c r="G29" s="100" t="s">
        <v>38</v>
      </c>
      <c r="H29" s="101"/>
      <c r="I29" s="102">
        <v>1.3</v>
      </c>
      <c r="J29" s="27" t="s">
        <v>33</v>
      </c>
    </row>
    <row r="30" spans="1:18" x14ac:dyDescent="0.25">
      <c r="A30" s="36"/>
      <c r="B30" s="37"/>
      <c r="C30" s="37"/>
      <c r="D30" s="41"/>
      <c r="E30" s="26"/>
      <c r="F30" s="37"/>
      <c r="G30" s="100"/>
      <c r="H30" s="101"/>
      <c r="I30" s="102"/>
      <c r="J30" s="27"/>
    </row>
    <row r="31" spans="1:18" x14ac:dyDescent="0.25">
      <c r="A31" s="36"/>
      <c r="B31" s="37"/>
      <c r="C31" s="37"/>
      <c r="D31" s="38"/>
      <c r="E31" s="26"/>
      <c r="F31" s="37"/>
      <c r="G31" s="100" t="s">
        <v>34</v>
      </c>
      <c r="H31" s="101"/>
      <c r="I31" s="104">
        <f>I23+(I27-I23)*I29</f>
        <v>8.3500000000000019E-2</v>
      </c>
      <c r="J31" s="27" t="s">
        <v>35</v>
      </c>
    </row>
    <row r="32" spans="1:18" x14ac:dyDescent="0.25">
      <c r="A32" s="25"/>
      <c r="B32" s="26"/>
      <c r="C32" s="42"/>
      <c r="D32" s="26"/>
      <c r="E32" s="37"/>
      <c r="F32" s="37"/>
      <c r="G32" s="100"/>
      <c r="H32" s="101"/>
      <c r="I32" s="101"/>
      <c r="J32" s="27"/>
    </row>
    <row r="33" spans="1:10" x14ac:dyDescent="0.25">
      <c r="A33" s="25"/>
      <c r="B33" s="26"/>
      <c r="C33" s="26"/>
      <c r="D33" s="26"/>
      <c r="E33" s="26"/>
      <c r="F33" s="26"/>
      <c r="G33" s="105" t="s">
        <v>37</v>
      </c>
      <c r="H33" s="106"/>
      <c r="I33" s="107">
        <f>I31</f>
        <v>8.3500000000000019E-2</v>
      </c>
      <c r="J33" s="27"/>
    </row>
    <row r="34" spans="1:10" x14ac:dyDescent="0.25">
      <c r="A34" s="36" t="s">
        <v>7</v>
      </c>
      <c r="B34" s="37"/>
      <c r="C34" s="43"/>
      <c r="D34" s="28"/>
      <c r="E34" s="26"/>
      <c r="F34" s="26"/>
      <c r="G34" s="100"/>
      <c r="H34" s="101"/>
      <c r="I34" s="101"/>
      <c r="J34" s="27"/>
    </row>
    <row r="35" spans="1:10" ht="15.75" hidden="1" customHeight="1" x14ac:dyDescent="0.25">
      <c r="A35" s="25"/>
      <c r="B35" s="26"/>
      <c r="C35" s="26"/>
      <c r="D35" s="26"/>
      <c r="E35" s="26"/>
      <c r="F35" s="26"/>
      <c r="G35" s="25"/>
      <c r="H35" s="26"/>
      <c r="I35" s="26"/>
      <c r="J35" s="27"/>
    </row>
    <row r="36" spans="1:10" ht="15.75" hidden="1" customHeight="1" x14ac:dyDescent="0.25">
      <c r="A36" s="25"/>
      <c r="B36" s="26" t="s">
        <v>8</v>
      </c>
      <c r="C36" s="26"/>
      <c r="D36" s="44">
        <v>0.08</v>
      </c>
      <c r="E36" s="26"/>
      <c r="F36" s="26"/>
      <c r="G36" s="25"/>
      <c r="H36" s="26"/>
      <c r="I36" s="26"/>
      <c r="J36" s="27"/>
    </row>
    <row r="37" spans="1:10" ht="15.75" hidden="1" customHeight="1" x14ac:dyDescent="0.25">
      <c r="A37" s="25"/>
      <c r="B37" s="26"/>
      <c r="C37" s="26"/>
      <c r="D37" s="26"/>
      <c r="E37" s="26"/>
      <c r="F37" s="26"/>
      <c r="G37" s="25"/>
      <c r="H37" s="26"/>
      <c r="I37" s="26"/>
      <c r="J37" s="27"/>
    </row>
    <row r="38" spans="1:10" ht="15.75" hidden="1" customHeight="1" x14ac:dyDescent="0.25">
      <c r="A38" s="25"/>
      <c r="B38" s="26"/>
      <c r="C38" s="26"/>
      <c r="D38" s="26"/>
      <c r="E38" s="26"/>
      <c r="F38" s="26"/>
      <c r="G38" s="25"/>
      <c r="H38" s="26"/>
      <c r="I38" s="26"/>
      <c r="J38" s="27"/>
    </row>
    <row r="39" spans="1:10" ht="15.75" hidden="1" customHeight="1" x14ac:dyDescent="0.25">
      <c r="A39" s="25"/>
      <c r="B39" s="26"/>
      <c r="C39" s="26"/>
      <c r="D39" s="26"/>
      <c r="E39" s="26"/>
      <c r="F39" s="26"/>
      <c r="G39" s="25"/>
      <c r="H39" s="26"/>
      <c r="I39" s="26"/>
      <c r="J39" s="27"/>
    </row>
    <row r="40" spans="1:10" hidden="1" x14ac:dyDescent="0.25">
      <c r="A40" s="25"/>
      <c r="B40" s="45"/>
      <c r="C40" s="45">
        <v>0.12</v>
      </c>
      <c r="D40" s="45" t="e">
        <f>((NPV(C40,$G$15:$Q$15)+(#REF!*(1+#REF!)/(C40-#REF!))/(1+C40)^(2040-2020))/$D$50)/$C$51-1</f>
        <v>#REF!</v>
      </c>
      <c r="E40" s="26"/>
      <c r="F40" s="26"/>
      <c r="G40" s="25"/>
      <c r="H40" s="26"/>
      <c r="I40" s="26"/>
      <c r="J40" s="27"/>
    </row>
    <row r="41" spans="1:10" hidden="1" x14ac:dyDescent="0.25">
      <c r="A41" s="25"/>
      <c r="B41" s="45"/>
      <c r="C41" s="45">
        <v>0.14000000000000001</v>
      </c>
      <c r="D41" s="45" t="e">
        <f>((NPV(C41,$G$15:$Q$15)+(#REF!*(1+#REF!)/(C41-#REF!))/(1+C41)^(2040-2020))/$D$50)/$C$51-1</f>
        <v>#REF!</v>
      </c>
      <c r="E41" s="26"/>
      <c r="F41" s="26"/>
      <c r="G41" s="25"/>
      <c r="H41" s="26"/>
      <c r="I41" s="26"/>
      <c r="J41" s="27"/>
    </row>
    <row r="42" spans="1:10" hidden="1" x14ac:dyDescent="0.25">
      <c r="A42" s="25"/>
      <c r="B42" s="45"/>
      <c r="C42" s="45">
        <v>0.16</v>
      </c>
      <c r="D42" s="45" t="e">
        <f>((NPV(C42,$G$15:$Q$15)+(#REF!*(1+#REF!)/(C42-#REF!))/(1+C42)^(2040-2020))/$D$50)/$C$51-1</f>
        <v>#REF!</v>
      </c>
      <c r="E42" s="26"/>
      <c r="F42" s="26"/>
      <c r="G42" s="25"/>
      <c r="H42" s="26"/>
      <c r="I42" s="26"/>
      <c r="J42" s="27"/>
    </row>
    <row r="43" spans="1:10" hidden="1" x14ac:dyDescent="0.25">
      <c r="A43" s="25"/>
      <c r="B43" s="45"/>
      <c r="C43" s="45">
        <v>0.18</v>
      </c>
      <c r="D43" s="45" t="e">
        <f>((NPV(C43,$G$15:$Q$15)+(#REF!*(1+#REF!)/(C43-#REF!))/(1+C43)^(2040-2020))/$D$50)/$C$51-1</f>
        <v>#REF!</v>
      </c>
      <c r="E43" s="26"/>
      <c r="F43" s="26"/>
      <c r="G43" s="25"/>
      <c r="H43" s="26"/>
      <c r="I43" s="26"/>
      <c r="J43" s="27"/>
    </row>
    <row r="44" spans="1:10" hidden="1" x14ac:dyDescent="0.25">
      <c r="A44" s="25"/>
      <c r="B44" s="45"/>
      <c r="C44" s="45">
        <v>0.2</v>
      </c>
      <c r="D44" s="45" t="e">
        <f>((NPV(C44,$G$15:$Q$15)+(#REF!*(1+#REF!)/(C44-#REF!))/(1+C44)^(2040-2020))/$D$50)/$C$51-1</f>
        <v>#REF!</v>
      </c>
      <c r="E44" s="26"/>
      <c r="F44" s="26"/>
      <c r="G44" s="25"/>
      <c r="H44" s="26"/>
      <c r="I44" s="26"/>
      <c r="J44" s="27"/>
    </row>
    <row r="45" spans="1:10" x14ac:dyDescent="0.25">
      <c r="A45" s="25"/>
      <c r="B45" s="26"/>
      <c r="C45" s="26"/>
      <c r="D45" s="26"/>
      <c r="E45" s="26"/>
      <c r="F45" s="26"/>
      <c r="G45" s="25"/>
      <c r="H45" s="26"/>
      <c r="I45" s="26"/>
      <c r="J45" s="27"/>
    </row>
    <row r="46" spans="1:10" ht="16.5" thickBot="1" x14ac:dyDescent="0.3">
      <c r="A46" s="29"/>
      <c r="B46" s="30" t="s">
        <v>23</v>
      </c>
      <c r="C46" s="30"/>
      <c r="D46" s="46">
        <f>I33</f>
        <v>8.3500000000000019E-2</v>
      </c>
      <c r="E46" s="30"/>
      <c r="F46" s="30"/>
      <c r="G46" s="29"/>
      <c r="H46" s="30"/>
      <c r="I46" s="30"/>
      <c r="J46" s="31"/>
    </row>
    <row r="48" spans="1:10" x14ac:dyDescent="0.25">
      <c r="A48" s="16"/>
      <c r="B48" s="17"/>
      <c r="C48" s="90">
        <v>44807</v>
      </c>
      <c r="D48" s="18" t="s">
        <v>3</v>
      </c>
      <c r="E48" s="19"/>
      <c r="F48" s="20"/>
      <c r="G48" s="21"/>
      <c r="H48" s="21"/>
      <c r="I48" s="21"/>
    </row>
    <row r="49" spans="1:17" x14ac:dyDescent="0.25">
      <c r="A49" s="47" t="s">
        <v>0</v>
      </c>
      <c r="B49" s="48" t="s">
        <v>5</v>
      </c>
      <c r="C49" s="75">
        <f>C50*C51</f>
        <v>215789.34999999998</v>
      </c>
      <c r="D49" s="49">
        <f>SUM(G19:Q19)</f>
        <v>174378.69875390478</v>
      </c>
      <c r="E49" s="48" t="s">
        <v>47</v>
      </c>
    </row>
    <row r="50" spans="1:17" x14ac:dyDescent="0.25">
      <c r="A50" s="47"/>
      <c r="B50" s="48" t="s">
        <v>11</v>
      </c>
      <c r="C50" s="75">
        <v>397</v>
      </c>
      <c r="D50" s="75">
        <f>C50</f>
        <v>397</v>
      </c>
      <c r="E50" s="48"/>
    </row>
    <row r="51" spans="1:17" x14ac:dyDescent="0.25">
      <c r="A51" s="47"/>
      <c r="B51" s="48" t="s">
        <v>13</v>
      </c>
      <c r="C51" s="94">
        <v>543.54999999999995</v>
      </c>
      <c r="D51" s="58">
        <f>D49/(D50)</f>
        <v>439.24105479572995</v>
      </c>
      <c r="E51" s="48" t="s">
        <v>47</v>
      </c>
    </row>
    <row r="52" spans="1:17" x14ac:dyDescent="0.25">
      <c r="A52" s="47"/>
      <c r="B52" s="48" t="s">
        <v>2</v>
      </c>
      <c r="C52" s="48"/>
      <c r="D52" s="59">
        <f>IF(C51/D51-1&gt;0,0,C51/D51-1)*-1</f>
        <v>0</v>
      </c>
      <c r="E52" s="48"/>
    </row>
    <row r="53" spans="1:17" x14ac:dyDescent="0.25">
      <c r="A53" s="47"/>
      <c r="B53" s="48" t="s">
        <v>14</v>
      </c>
      <c r="C53" s="48"/>
      <c r="D53" s="60">
        <f>IF(C51/D51-1&lt;0,0,C51/D51-1)</f>
        <v>0.23747540004606149</v>
      </c>
      <c r="E53" s="48"/>
    </row>
    <row r="54" spans="1:17" x14ac:dyDescent="0.25">
      <c r="A54" s="48"/>
      <c r="B54" s="48"/>
      <c r="C54" s="48"/>
      <c r="D54" s="50"/>
      <c r="E54" s="50"/>
    </row>
    <row r="55" spans="1:17" x14ac:dyDescent="0.25">
      <c r="A55" s="50" t="s">
        <v>22</v>
      </c>
      <c r="B55" s="48"/>
      <c r="C55" s="52">
        <f>D46</f>
        <v>8.3500000000000019E-2</v>
      </c>
      <c r="D55" s="51"/>
      <c r="E55" s="48"/>
      <c r="J55" s="74"/>
    </row>
    <row r="56" spans="1:17" x14ac:dyDescent="0.25">
      <c r="A56" s="50"/>
      <c r="B56" s="48"/>
      <c r="C56" s="52"/>
      <c r="D56" s="51"/>
      <c r="E56" s="48"/>
    </row>
    <row r="57" spans="1:17" hidden="1" x14ac:dyDescent="0.25">
      <c r="A57" s="50" t="s">
        <v>25</v>
      </c>
      <c r="B57" s="78">
        <v>0.108</v>
      </c>
      <c r="C57" s="52"/>
      <c r="D57" s="79">
        <f>SUM(H57:Q57)*1000</f>
        <v>120543469.36428954</v>
      </c>
      <c r="E57" s="48"/>
      <c r="F57" s="1" t="s">
        <v>26</v>
      </c>
      <c r="H57" s="1">
        <f>G15/(1+$B$57)</f>
        <v>8174.0159855595666</v>
      </c>
      <c r="I57" s="1">
        <f>H15/(1+$B$57)^2</f>
        <v>7695.3148516206365</v>
      </c>
      <c r="J57" s="1">
        <f>I15/(1+$B$57)^3</f>
        <v>7686.8386246147929</v>
      </c>
      <c r="K57" s="1">
        <f>J15/(1+$B$57)^4</f>
        <v>7798.2113114985032</v>
      </c>
      <c r="L57" s="1">
        <f>K15/(1+$B$57)^5</f>
        <v>6830.9283270458482</v>
      </c>
      <c r="M57" s="1">
        <f>L15/(1+$B$57)^6</f>
        <v>6596.6546118583547</v>
      </c>
      <c r="N57" s="1">
        <f>M15/(1+$B$57)^7</f>
        <v>6434.6216855247494</v>
      </c>
      <c r="O57" s="1">
        <f>N15/(1+$B$57)^8</f>
        <v>6097.7913084846432</v>
      </c>
      <c r="P57" s="1">
        <f>O15/(1+$B$57)^9</f>
        <v>5723.5586289025532</v>
      </c>
      <c r="Q57" s="1">
        <f>(Q15/(B57-Q12))/(1+B57)^10</f>
        <v>57505.534029179893</v>
      </c>
    </row>
    <row r="58" spans="1:17" ht="16.5" thickBot="1" x14ac:dyDescent="0.3">
      <c r="A58" s="22"/>
      <c r="C58" s="69"/>
      <c r="D58" s="70"/>
    </row>
    <row r="59" spans="1:17" x14ac:dyDescent="0.25">
      <c r="A59" s="61" t="s">
        <v>43</v>
      </c>
      <c r="B59" s="23"/>
      <c r="C59" s="71">
        <v>17</v>
      </c>
      <c r="D59" s="23"/>
      <c r="E59" s="24"/>
    </row>
    <row r="60" spans="1:17" x14ac:dyDescent="0.25">
      <c r="A60" s="25" t="s">
        <v>24</v>
      </c>
      <c r="B60" s="26"/>
      <c r="C60" s="72"/>
      <c r="D60" s="26"/>
      <c r="E60" s="27"/>
    </row>
    <row r="61" spans="1:17" x14ac:dyDescent="0.25">
      <c r="A61" s="25"/>
      <c r="B61" s="26"/>
      <c r="C61" s="72"/>
      <c r="D61" s="26"/>
      <c r="E61" s="27"/>
    </row>
    <row r="62" spans="1:17" x14ac:dyDescent="0.25">
      <c r="A62" s="25" t="s">
        <v>40</v>
      </c>
      <c r="B62" s="26"/>
      <c r="C62" s="72"/>
      <c r="D62" s="26"/>
      <c r="E62" s="62">
        <f>P17*C59</f>
        <v>629.19109263797384</v>
      </c>
    </row>
    <row r="63" spans="1:17" x14ac:dyDescent="0.25">
      <c r="A63" s="25"/>
      <c r="B63" s="26"/>
      <c r="C63" s="72"/>
      <c r="D63" s="26"/>
      <c r="E63" s="27"/>
    </row>
    <row r="64" spans="1:17" x14ac:dyDescent="0.25">
      <c r="A64" s="25" t="s">
        <v>17</v>
      </c>
      <c r="B64" s="26"/>
      <c r="C64" s="73">
        <v>0.05</v>
      </c>
      <c r="D64" s="26"/>
      <c r="E64" s="27"/>
    </row>
    <row r="65" spans="1:5" x14ac:dyDescent="0.25">
      <c r="A65" s="25"/>
      <c r="B65" s="26"/>
      <c r="C65" s="26"/>
      <c r="D65" s="26"/>
      <c r="E65" s="27"/>
    </row>
    <row r="66" spans="1:5" x14ac:dyDescent="0.25">
      <c r="A66" s="25" t="s">
        <v>18</v>
      </c>
      <c r="B66" s="26"/>
      <c r="C66" s="26"/>
      <c r="D66" s="26"/>
      <c r="E66" s="62">
        <f>SUM(G17:Q17)*C64</f>
        <v>15.172287650256933</v>
      </c>
    </row>
    <row r="67" spans="1:5" x14ac:dyDescent="0.25">
      <c r="A67" s="25"/>
      <c r="B67" s="26"/>
      <c r="C67" s="26"/>
      <c r="D67" s="26"/>
      <c r="E67" s="63"/>
    </row>
    <row r="68" spans="1:5" x14ac:dyDescent="0.25">
      <c r="A68" s="64" t="s">
        <v>48</v>
      </c>
      <c r="B68" s="26"/>
      <c r="C68" s="26"/>
      <c r="D68" s="26"/>
      <c r="E68" s="65">
        <f>(E66*0.25)*-1</f>
        <v>-3.7930719125642334</v>
      </c>
    </row>
    <row r="69" spans="1:5" x14ac:dyDescent="0.25">
      <c r="A69" s="25"/>
      <c r="B69" s="26"/>
      <c r="C69" s="45"/>
      <c r="D69" s="45"/>
      <c r="E69" s="66"/>
    </row>
    <row r="70" spans="1:5" x14ac:dyDescent="0.25">
      <c r="A70" s="25" t="s">
        <v>19</v>
      </c>
      <c r="B70" s="26"/>
      <c r="C70" s="26"/>
      <c r="D70" s="26"/>
      <c r="E70" s="62">
        <f>SUM(E62:E68)</f>
        <v>640.57030837566663</v>
      </c>
    </row>
    <row r="71" spans="1:5" x14ac:dyDescent="0.25">
      <c r="A71" s="25"/>
      <c r="B71" s="26"/>
      <c r="C71" s="26"/>
      <c r="D71" s="26"/>
      <c r="E71" s="62"/>
    </row>
    <row r="72" spans="1:5" x14ac:dyDescent="0.25">
      <c r="A72" s="25" t="s">
        <v>20</v>
      </c>
      <c r="B72" s="26"/>
      <c r="C72" s="26"/>
      <c r="D72" s="26"/>
      <c r="E72" s="66">
        <f>E70/C51-1</f>
        <v>0.1784938062288044</v>
      </c>
    </row>
    <row r="73" spans="1:5" x14ac:dyDescent="0.25">
      <c r="A73" s="25"/>
      <c r="B73" s="26"/>
      <c r="C73" s="26"/>
      <c r="D73" s="26"/>
      <c r="E73" s="27"/>
    </row>
    <row r="74" spans="1:5" ht="16.5" thickBot="1" x14ac:dyDescent="0.3">
      <c r="A74" s="109" t="s">
        <v>21</v>
      </c>
      <c r="B74" s="110"/>
      <c r="C74" s="110"/>
      <c r="D74" s="110"/>
      <c r="E74" s="112">
        <f>(E70/C51)^(1/10)-1</f>
        <v>1.6559329436509618E-2</v>
      </c>
    </row>
  </sheetData>
  <conditionalFormatting sqref="L6:L8">
    <cfRule type="top10" dxfId="7" priority="6" percent="1" rank="10"/>
  </conditionalFormatting>
  <conditionalFormatting sqref="G6:J8">
    <cfRule type="top10" dxfId="6" priority="5" percent="1" rank="10"/>
  </conditionalFormatting>
  <conditionalFormatting sqref="K9">
    <cfRule type="top10" dxfId="5" priority="4" percent="1" rank="10"/>
  </conditionalFormatting>
  <conditionalFormatting sqref="L2:L5">
    <cfRule type="top10" dxfId="4" priority="3" percent="1" rank="10"/>
  </conditionalFormatting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CB34D-A856-4E94-9389-3AD72615DA53}">
  <dimension ref="A2:AB74"/>
  <sheetViews>
    <sheetView tabSelected="1" zoomScaleNormal="100" workbookViewId="0">
      <selection activeCell="D51" sqref="D51"/>
    </sheetView>
  </sheetViews>
  <sheetFormatPr baseColWidth="10" defaultColWidth="10.625" defaultRowHeight="15.75" x14ac:dyDescent="0.25"/>
  <cols>
    <col min="1" max="1" width="27.125" style="1" bestFit="1" customWidth="1"/>
    <col min="2" max="2" width="32.375" style="1" customWidth="1"/>
    <col min="3" max="3" width="16" style="1" bestFit="1" customWidth="1"/>
    <col min="4" max="4" width="16.125" style="1" customWidth="1"/>
    <col min="5" max="5" width="14.125" style="1" customWidth="1"/>
    <col min="6" max="6" width="13.625" style="1" customWidth="1"/>
    <col min="7" max="7" width="14.875" style="1" customWidth="1"/>
    <col min="8" max="8" width="12.125" style="1" customWidth="1"/>
    <col min="9" max="9" width="12.375" style="1" bestFit="1" customWidth="1"/>
    <col min="10" max="16" width="13.375" style="1" bestFit="1" customWidth="1"/>
    <col min="17" max="18" width="10.625" style="1" customWidth="1"/>
    <col min="19" max="16384" width="10.625" style="1"/>
  </cols>
  <sheetData>
    <row r="2" spans="1:28" ht="26.25" x14ac:dyDescent="0.4">
      <c r="B2" s="32" t="s">
        <v>10</v>
      </c>
    </row>
    <row r="4" spans="1:28" x14ac:dyDescent="0.25">
      <c r="B4" s="22" t="s">
        <v>46</v>
      </c>
      <c r="L4" s="26"/>
      <c r="M4" s="26"/>
      <c r="N4" s="26"/>
      <c r="O4" s="26"/>
      <c r="P4" s="26"/>
      <c r="Q4" s="26"/>
      <c r="R4" s="26"/>
      <c r="S4" s="26"/>
    </row>
    <row r="5" spans="1:28" x14ac:dyDescent="0.25">
      <c r="L5" s="26"/>
      <c r="M5" s="26"/>
      <c r="N5" s="26"/>
      <c r="O5" s="26"/>
      <c r="P5" s="26"/>
      <c r="Q5" s="26"/>
      <c r="R5" s="26"/>
      <c r="S5" s="26"/>
    </row>
    <row r="6" spans="1:28" x14ac:dyDescent="0.25">
      <c r="B6" s="1" t="s">
        <v>36</v>
      </c>
      <c r="L6" s="26"/>
      <c r="M6" s="26"/>
      <c r="N6" s="26"/>
      <c r="O6" s="26"/>
      <c r="P6" s="26"/>
      <c r="Q6" s="26"/>
      <c r="R6" s="26"/>
      <c r="S6" s="26"/>
    </row>
    <row r="9" spans="1:28" s="8" customFormat="1" x14ac:dyDescent="0.25">
      <c r="G9" s="9" t="s">
        <v>9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25">
      <c r="A10" s="4"/>
      <c r="B10" s="4"/>
      <c r="C10" s="11">
        <v>2018</v>
      </c>
      <c r="D10" s="11">
        <v>2019</v>
      </c>
      <c r="E10" s="11">
        <v>2020</v>
      </c>
      <c r="F10" s="11">
        <v>2021</v>
      </c>
      <c r="G10" s="57">
        <v>2022</v>
      </c>
      <c r="H10" s="57">
        <v>2023</v>
      </c>
      <c r="I10" s="57">
        <v>2024</v>
      </c>
      <c r="J10" s="57">
        <v>2025</v>
      </c>
      <c r="K10" s="57">
        <v>2026</v>
      </c>
      <c r="L10" s="57">
        <v>2027</v>
      </c>
      <c r="M10" s="57">
        <v>2028</v>
      </c>
      <c r="N10" s="57">
        <v>2029</v>
      </c>
      <c r="O10" s="57">
        <v>2030</v>
      </c>
      <c r="P10" s="57">
        <v>2031</v>
      </c>
      <c r="Q10" s="57" t="s">
        <v>44</v>
      </c>
    </row>
    <row r="11" spans="1:28" x14ac:dyDescent="0.25">
      <c r="A11" s="5"/>
      <c r="B11" s="4" t="s">
        <v>4</v>
      </c>
      <c r="C11" s="88">
        <v>24358</v>
      </c>
      <c r="D11" s="88">
        <v>25542</v>
      </c>
      <c r="E11" s="88">
        <v>32218</v>
      </c>
      <c r="F11" s="88">
        <v>39211</v>
      </c>
      <c r="G11" s="77">
        <v>43209.97</v>
      </c>
      <c r="H11" s="77">
        <v>44478.63</v>
      </c>
      <c r="I11" s="77">
        <v>48206.71</v>
      </c>
      <c r="J11" s="77">
        <v>52259.42</v>
      </c>
      <c r="K11" s="77">
        <f t="shared" ref="K11:Q11" si="0">J11*(1+K12)</f>
        <v>57485.362000000001</v>
      </c>
      <c r="L11" s="77">
        <f t="shared" si="0"/>
        <v>63233.898200000003</v>
      </c>
      <c r="M11" s="77">
        <f t="shared" si="0"/>
        <v>68924.949038000006</v>
      </c>
      <c r="N11" s="77">
        <f t="shared" si="0"/>
        <v>74438.944961040004</v>
      </c>
      <c r="O11" s="77">
        <f t="shared" si="0"/>
        <v>79649.671108312803</v>
      </c>
      <c r="P11" s="77">
        <f t="shared" si="0"/>
        <v>83632.154663728448</v>
      </c>
      <c r="Q11" s="77">
        <f t="shared" si="0"/>
        <v>85304.79775700302</v>
      </c>
    </row>
    <row r="12" spans="1:28" x14ac:dyDescent="0.25">
      <c r="A12" s="5"/>
      <c r="B12" s="4" t="s">
        <v>1</v>
      </c>
      <c r="C12" s="93"/>
      <c r="D12" s="96">
        <f t="shared" ref="D12" si="1">D11/C11-1</f>
        <v>4.860826011987851E-2</v>
      </c>
      <c r="E12" s="96">
        <f t="shared" ref="E12" si="2">E11/D11-1</f>
        <v>0.2613734241641219</v>
      </c>
      <c r="F12" s="96">
        <f t="shared" ref="F12" si="3">F11/E11-1</f>
        <v>0.21705257930349497</v>
      </c>
      <c r="G12" s="92">
        <f t="shared" ref="G12" si="4">G11/F11-1</f>
        <v>0.10198592231771708</v>
      </c>
      <c r="H12" s="92">
        <f t="shared" ref="H12:J12" si="5">H11/G11-1</f>
        <v>2.9360353640606407E-2</v>
      </c>
      <c r="I12" s="92">
        <f t="shared" si="5"/>
        <v>8.3817329805347063E-2</v>
      </c>
      <c r="J12" s="92">
        <f t="shared" si="5"/>
        <v>8.4069416892378568E-2</v>
      </c>
      <c r="K12" s="92">
        <v>0.1</v>
      </c>
      <c r="L12" s="92">
        <v>0.1</v>
      </c>
      <c r="M12" s="92">
        <v>0.09</v>
      </c>
      <c r="N12" s="92">
        <v>0.08</v>
      </c>
      <c r="O12" s="92">
        <v>7.0000000000000007E-2</v>
      </c>
      <c r="P12" s="92">
        <v>0.05</v>
      </c>
      <c r="Q12" s="92">
        <v>0.02</v>
      </c>
    </row>
    <row r="13" spans="1:28" ht="15.95" customHeight="1" x14ac:dyDescent="0.25">
      <c r="A13" s="5"/>
      <c r="B13" s="4" t="s">
        <v>15</v>
      </c>
      <c r="C13" s="95">
        <v>0.159</v>
      </c>
      <c r="D13" s="95">
        <v>0.16669999999999999</v>
      </c>
      <c r="E13" s="95">
        <v>0.246</v>
      </c>
      <c r="F13" s="95">
        <v>0.2631</v>
      </c>
      <c r="G13" s="91">
        <v>0.252</v>
      </c>
      <c r="H13" s="91">
        <v>0.25130000000000002</v>
      </c>
      <c r="I13" s="91">
        <v>0.25419999999999998</v>
      </c>
      <c r="J13" s="91">
        <v>0.25230000000000002</v>
      </c>
      <c r="K13" s="91">
        <v>0.255</v>
      </c>
      <c r="L13" s="91">
        <v>0.26</v>
      </c>
      <c r="M13" s="91">
        <v>0.26500000000000001</v>
      </c>
      <c r="N13" s="91">
        <v>0.27</v>
      </c>
      <c r="O13" s="91">
        <v>0.27</v>
      </c>
      <c r="P13" s="91">
        <v>0.28000000000000003</v>
      </c>
      <c r="Q13" s="91">
        <v>0.28000000000000003</v>
      </c>
    </row>
    <row r="14" spans="1:28" ht="17.100000000000001" customHeight="1" x14ac:dyDescent="0.25">
      <c r="A14" s="5"/>
      <c r="B14" s="4" t="s">
        <v>16</v>
      </c>
      <c r="C14" s="88">
        <f>C11*C13</f>
        <v>3872.922</v>
      </c>
      <c r="D14" s="88">
        <f t="shared" ref="D14:J14" si="6">D11*D13</f>
        <v>4257.8513999999996</v>
      </c>
      <c r="E14" s="88">
        <f t="shared" si="6"/>
        <v>7925.6279999999997</v>
      </c>
      <c r="F14" s="88">
        <f t="shared" si="6"/>
        <v>10316.4141</v>
      </c>
      <c r="G14" s="77">
        <f t="shared" si="6"/>
        <v>10888.91244</v>
      </c>
      <c r="H14" s="77">
        <f t="shared" si="6"/>
        <v>11177.479719000001</v>
      </c>
      <c r="I14" s="77">
        <f t="shared" si="6"/>
        <v>12254.145681999998</v>
      </c>
      <c r="J14" s="77">
        <f t="shared" si="6"/>
        <v>13185.051666000001</v>
      </c>
      <c r="K14" s="77">
        <f t="shared" ref="K14:Q14" si="7">K11*K13</f>
        <v>14658.767310000001</v>
      </c>
      <c r="L14" s="77">
        <f t="shared" si="7"/>
        <v>16440.813532</v>
      </c>
      <c r="M14" s="77">
        <f t="shared" si="7"/>
        <v>18265.111495070003</v>
      </c>
      <c r="N14" s="77">
        <f t="shared" si="7"/>
        <v>20098.515139480802</v>
      </c>
      <c r="O14" s="77">
        <f t="shared" si="7"/>
        <v>21505.41119924446</v>
      </c>
      <c r="P14" s="77">
        <f t="shared" si="7"/>
        <v>23417.003305843969</v>
      </c>
      <c r="Q14" s="77">
        <f t="shared" si="7"/>
        <v>23885.343371960847</v>
      </c>
    </row>
    <row r="15" spans="1:28" x14ac:dyDescent="0.25">
      <c r="A15" s="108">
        <v>0.15</v>
      </c>
      <c r="B15" s="4" t="s">
        <v>42</v>
      </c>
      <c r="C15" s="88">
        <v>2937.5747999999999</v>
      </c>
      <c r="D15" s="88">
        <v>3695.9274</v>
      </c>
      <c r="E15" s="88">
        <v>6375.9421999999995</v>
      </c>
      <c r="F15" s="88">
        <v>7724.567</v>
      </c>
      <c r="G15" s="77">
        <v>9056.8097120000002</v>
      </c>
      <c r="H15" s="77">
        <v>9447.261011999999</v>
      </c>
      <c r="I15" s="77">
        <v>10456.035399</v>
      </c>
      <c r="J15" s="77">
        <v>11753.143558</v>
      </c>
      <c r="K15" s="77">
        <f t="shared" ref="K15:Q15" si="8">K14*(1-$A$15)</f>
        <v>12459.952213500001</v>
      </c>
      <c r="L15" s="77">
        <f t="shared" si="8"/>
        <v>13974.691502199999</v>
      </c>
      <c r="M15" s="77">
        <f t="shared" si="8"/>
        <v>15525.344770809503</v>
      </c>
      <c r="N15" s="77">
        <f t="shared" si="8"/>
        <v>17083.737868558681</v>
      </c>
      <c r="O15" s="77">
        <f t="shared" si="8"/>
        <v>18279.599519357791</v>
      </c>
      <c r="P15" s="77">
        <f t="shared" si="8"/>
        <v>19904.452809967373</v>
      </c>
      <c r="Q15" s="77">
        <f t="shared" si="8"/>
        <v>20302.541866166721</v>
      </c>
    </row>
    <row r="16" spans="1:28" ht="32.25" hidden="1" thickBot="1" x14ac:dyDescent="0.3">
      <c r="A16" s="13" t="s">
        <v>6</v>
      </c>
      <c r="B16" s="14"/>
      <c r="C16" s="15">
        <f t="shared" ref="C16:J16" si="9">C15/C14</f>
        <v>0.75849056603773579</v>
      </c>
      <c r="D16" s="15">
        <f t="shared" si="9"/>
        <v>0.86802639472105592</v>
      </c>
      <c r="E16" s="15">
        <f t="shared" si="9"/>
        <v>0.80447154471544713</v>
      </c>
      <c r="F16" s="15">
        <f t="shared" si="9"/>
        <v>0.7487647282402129</v>
      </c>
      <c r="G16" s="15">
        <f t="shared" si="9"/>
        <v>0.83174603174603179</v>
      </c>
      <c r="H16" s="15">
        <f t="shared" si="9"/>
        <v>0.84520493434142441</v>
      </c>
      <c r="I16" s="15">
        <f t="shared" si="9"/>
        <v>0.85326514555468147</v>
      </c>
      <c r="J16" s="15">
        <f t="shared" si="9"/>
        <v>0.89139912802219567</v>
      </c>
    </row>
    <row r="17" spans="1:18" x14ac:dyDescent="0.25">
      <c r="A17" s="2" t="s">
        <v>39</v>
      </c>
      <c r="C17" s="88"/>
      <c r="D17" s="88"/>
      <c r="E17" s="88"/>
      <c r="F17" s="88"/>
      <c r="G17" s="77">
        <f>G15/G18</f>
        <v>22.813122700251888</v>
      </c>
      <c r="H17" s="77">
        <f t="shared" ref="H17:P17" si="10">H15/H18</f>
        <v>23.820447681938862</v>
      </c>
      <c r="I17" s="77">
        <f t="shared" si="10"/>
        <v>26.390375012042021</v>
      </c>
      <c r="J17" s="77">
        <f t="shared" si="10"/>
        <v>29.693888224794279</v>
      </c>
      <c r="K17" s="77">
        <f t="shared" si="10"/>
        <v>31.511125620936973</v>
      </c>
      <c r="L17" s="77">
        <f t="shared" si="10"/>
        <v>35.377267179288985</v>
      </c>
      <c r="M17" s="77">
        <f t="shared" si="10"/>
        <v>39.342125297365165</v>
      </c>
      <c r="N17" s="77">
        <f t="shared" si="10"/>
        <v>43.334518430550098</v>
      </c>
      <c r="O17" s="77">
        <f t="shared" si="10"/>
        <v>46.414349069758373</v>
      </c>
      <c r="P17" s="77">
        <f t="shared" si="10"/>
        <v>50.590659646716944</v>
      </c>
      <c r="Q17" s="77"/>
    </row>
    <row r="18" spans="1:18" ht="32.25" thickBot="1" x14ac:dyDescent="0.3">
      <c r="A18" s="2" t="s">
        <v>41</v>
      </c>
      <c r="C18" s="88"/>
      <c r="D18" s="88"/>
      <c r="E18" s="88"/>
      <c r="F18" s="88"/>
      <c r="G18" s="77">
        <f>C50</f>
        <v>397</v>
      </c>
      <c r="H18" s="77">
        <f>G18*0.999</f>
        <v>396.60300000000001</v>
      </c>
      <c r="I18" s="77">
        <f t="shared" ref="I18:P18" si="11">H18*0.999</f>
        <v>396.20639699999998</v>
      </c>
      <c r="J18" s="77">
        <f>I18*0.999</f>
        <v>395.81019060299997</v>
      </c>
      <c r="K18" s="77">
        <f t="shared" si="11"/>
        <v>395.41438041239695</v>
      </c>
      <c r="L18" s="77">
        <f t="shared" si="11"/>
        <v>395.01896603198458</v>
      </c>
      <c r="M18" s="77">
        <f t="shared" si="11"/>
        <v>394.62394706595256</v>
      </c>
      <c r="N18" s="77">
        <f t="shared" si="11"/>
        <v>394.22932311888661</v>
      </c>
      <c r="O18" s="77">
        <f t="shared" si="11"/>
        <v>393.8350937957677</v>
      </c>
      <c r="P18" s="77">
        <f t="shared" si="11"/>
        <v>393.44125870197195</v>
      </c>
      <c r="Q18" s="77"/>
    </row>
    <row r="19" spans="1:18" ht="16.5" thickBot="1" x14ac:dyDescent="0.3">
      <c r="A19" s="2"/>
      <c r="E19" s="53" t="s">
        <v>12</v>
      </c>
      <c r="F19" s="54"/>
      <c r="G19" s="55">
        <f>G15/(1+$C$55)</f>
        <v>8358.8460655283816</v>
      </c>
      <c r="H19" s="55">
        <f>H15/(1+$C$55)^2</f>
        <v>8047.2609229051204</v>
      </c>
      <c r="I19" s="55">
        <f>I15/(1+$C$55)^3</f>
        <v>8220.1605117443305</v>
      </c>
      <c r="J19" s="55">
        <f>J15/(1+$C$55)^4</f>
        <v>8527.8269367331068</v>
      </c>
      <c r="K19" s="55">
        <f>K15/(1+$C$55)^5</f>
        <v>8343.9520262221504</v>
      </c>
      <c r="L19" s="55">
        <f>L15/(1+$C$55)^6</f>
        <v>8637.1156636518735</v>
      </c>
      <c r="M19" s="55">
        <f>M15/(1+$C$55)^7</f>
        <v>8856.0252012560577</v>
      </c>
      <c r="N19" s="55">
        <f>N15/(1+$C$55)^8</f>
        <v>8993.9728820341697</v>
      </c>
      <c r="O19" s="55">
        <f>O15/(1+$C$55)^9</f>
        <v>8881.9113832732473</v>
      </c>
      <c r="P19" s="55">
        <f>P15/(1+$C$55)^10</f>
        <v>8926.0864027152566</v>
      </c>
      <c r="Q19" s="56">
        <f>(Q15/(C55-Q12))/(1+C55)^10</f>
        <v>143379.65560267025</v>
      </c>
    </row>
    <row r="20" spans="1:18" x14ac:dyDescent="0.25">
      <c r="A20" s="2"/>
      <c r="C20" s="80"/>
      <c r="D20" s="89"/>
      <c r="G20" s="6"/>
      <c r="H20" s="7"/>
      <c r="I20" s="6"/>
      <c r="J20" s="6"/>
      <c r="K20" s="6"/>
      <c r="L20" s="6"/>
      <c r="M20" s="6"/>
      <c r="N20" s="6"/>
      <c r="O20" s="6"/>
      <c r="P20" s="3"/>
      <c r="Q20" s="3"/>
      <c r="R20" s="3"/>
    </row>
    <row r="21" spans="1:18" x14ac:dyDescent="0.25">
      <c r="A21" s="2"/>
      <c r="J21" s="111"/>
      <c r="K21" s="111"/>
      <c r="L21" s="111"/>
      <c r="M21" s="111"/>
      <c r="N21" s="111"/>
      <c r="O21" s="111"/>
      <c r="P21" s="111"/>
      <c r="Q21" s="111"/>
      <c r="R21" s="3"/>
    </row>
    <row r="22" spans="1:18" ht="16.5" thickBot="1" x14ac:dyDescent="0.3">
      <c r="P22" s="3"/>
      <c r="Q22" s="3"/>
      <c r="R22" s="3"/>
    </row>
    <row r="23" spans="1:18" x14ac:dyDescent="0.25">
      <c r="A23" s="33" t="s">
        <v>27</v>
      </c>
      <c r="B23" s="34"/>
      <c r="C23" s="34"/>
      <c r="D23" s="35"/>
      <c r="E23" s="23"/>
      <c r="F23" s="34"/>
      <c r="G23" s="61" t="s">
        <v>28</v>
      </c>
      <c r="H23" s="23"/>
      <c r="I23" s="84">
        <v>2.5000000000000001E-2</v>
      </c>
      <c r="J23" s="24" t="s">
        <v>29</v>
      </c>
    </row>
    <row r="24" spans="1:18" x14ac:dyDescent="0.25">
      <c r="A24" s="36"/>
      <c r="B24" s="37"/>
      <c r="C24" s="37"/>
      <c r="D24" s="38"/>
      <c r="E24" s="37"/>
      <c r="F24" s="37"/>
      <c r="G24" s="25"/>
      <c r="H24" s="26"/>
      <c r="I24" s="85"/>
      <c r="J24" s="27"/>
    </row>
    <row r="25" spans="1:18" x14ac:dyDescent="0.25">
      <c r="A25" s="36"/>
      <c r="B25" s="37"/>
      <c r="C25" s="37"/>
      <c r="D25" s="39"/>
      <c r="E25" s="26"/>
      <c r="F25" s="37"/>
      <c r="G25" s="25" t="s">
        <v>30</v>
      </c>
      <c r="H25" s="26"/>
      <c r="I25" s="86">
        <f>(I27-I23)*I29</f>
        <v>5.850000000000001E-2</v>
      </c>
      <c r="J25" s="27"/>
    </row>
    <row r="26" spans="1:18" x14ac:dyDescent="0.25">
      <c r="A26" s="36"/>
      <c r="B26" s="37"/>
      <c r="C26" s="37"/>
      <c r="D26" s="39"/>
      <c r="E26" s="26"/>
      <c r="F26" s="37"/>
      <c r="G26" s="25"/>
      <c r="H26" s="26"/>
      <c r="I26" s="85"/>
      <c r="J26" s="27"/>
    </row>
    <row r="27" spans="1:18" x14ac:dyDescent="0.25">
      <c r="A27" s="36"/>
      <c r="B27" s="37"/>
      <c r="C27" s="37"/>
      <c r="D27" s="39"/>
      <c r="E27" s="26"/>
      <c r="F27" s="37"/>
      <c r="G27" s="25" t="s">
        <v>31</v>
      </c>
      <c r="H27" s="26"/>
      <c r="I27" s="87">
        <v>7.0000000000000007E-2</v>
      </c>
      <c r="J27" s="27" t="s">
        <v>32</v>
      </c>
    </row>
    <row r="28" spans="1:18" x14ac:dyDescent="0.25">
      <c r="A28" s="36"/>
      <c r="B28" s="37"/>
      <c r="C28" s="37"/>
      <c r="D28" s="40"/>
      <c r="E28" s="26"/>
      <c r="F28" s="37"/>
      <c r="G28" s="25"/>
      <c r="H28" s="26"/>
      <c r="I28" s="85"/>
      <c r="J28" s="27"/>
    </row>
    <row r="29" spans="1:18" x14ac:dyDescent="0.25">
      <c r="A29" s="36"/>
      <c r="B29" s="37"/>
      <c r="C29" s="37"/>
      <c r="D29" s="40"/>
      <c r="E29" s="26"/>
      <c r="F29" s="37"/>
      <c r="G29" s="25" t="s">
        <v>38</v>
      </c>
      <c r="H29" s="26"/>
      <c r="I29" s="85">
        <v>1.3</v>
      </c>
      <c r="J29" s="27" t="s">
        <v>33</v>
      </c>
    </row>
    <row r="30" spans="1:18" x14ac:dyDescent="0.25">
      <c r="A30" s="36"/>
      <c r="B30" s="37"/>
      <c r="C30" s="37"/>
      <c r="D30" s="41"/>
      <c r="E30" s="26"/>
      <c r="F30" s="37"/>
      <c r="G30" s="25"/>
      <c r="H30" s="26"/>
      <c r="I30" s="85"/>
      <c r="J30" s="27"/>
    </row>
    <row r="31" spans="1:18" x14ac:dyDescent="0.25">
      <c r="A31" s="36"/>
      <c r="B31" s="37"/>
      <c r="C31" s="37"/>
      <c r="D31" s="38"/>
      <c r="E31" s="26"/>
      <c r="F31" s="37"/>
      <c r="G31" s="25" t="s">
        <v>34</v>
      </c>
      <c r="H31" s="26"/>
      <c r="I31" s="87">
        <f>I23+(I27-I23)*I29</f>
        <v>8.3500000000000019E-2</v>
      </c>
      <c r="J31" s="27" t="s">
        <v>35</v>
      </c>
    </row>
    <row r="32" spans="1:18" x14ac:dyDescent="0.25">
      <c r="A32" s="25"/>
      <c r="B32" s="26"/>
      <c r="C32" s="42"/>
      <c r="D32" s="26"/>
      <c r="E32" s="37"/>
      <c r="F32" s="37"/>
      <c r="G32" s="25"/>
      <c r="H32" s="26"/>
      <c r="I32" s="26"/>
      <c r="J32" s="27"/>
    </row>
    <row r="33" spans="1:10" x14ac:dyDescent="0.25">
      <c r="A33" s="25"/>
      <c r="B33" s="26"/>
      <c r="C33" s="26"/>
      <c r="D33" s="26"/>
      <c r="E33" s="26"/>
      <c r="F33" s="26"/>
      <c r="G33" s="81" t="s">
        <v>37</v>
      </c>
      <c r="H33" s="82"/>
      <c r="I33" s="83">
        <f>I31</f>
        <v>8.3500000000000019E-2</v>
      </c>
      <c r="J33" s="27"/>
    </row>
    <row r="34" spans="1:10" x14ac:dyDescent="0.25">
      <c r="A34" s="36" t="s">
        <v>7</v>
      </c>
      <c r="B34" s="37"/>
      <c r="C34" s="43"/>
      <c r="D34" s="28"/>
      <c r="E34" s="26"/>
      <c r="F34" s="26"/>
      <c r="G34" s="25"/>
      <c r="H34" s="26"/>
      <c r="I34" s="26"/>
      <c r="J34" s="27"/>
    </row>
    <row r="35" spans="1:10" ht="15.75" hidden="1" customHeight="1" x14ac:dyDescent="0.25">
      <c r="A35" s="25"/>
      <c r="B35" s="26"/>
      <c r="C35" s="26"/>
      <c r="D35" s="26"/>
      <c r="E35" s="26"/>
      <c r="F35" s="26"/>
      <c r="G35" s="25"/>
      <c r="H35" s="26"/>
      <c r="I35" s="26"/>
      <c r="J35" s="27"/>
    </row>
    <row r="36" spans="1:10" ht="15.75" hidden="1" customHeight="1" x14ac:dyDescent="0.25">
      <c r="A36" s="25"/>
      <c r="B36" s="26" t="s">
        <v>8</v>
      </c>
      <c r="C36" s="26"/>
      <c r="D36" s="44">
        <v>0.08</v>
      </c>
      <c r="E36" s="26"/>
      <c r="F36" s="26"/>
      <c r="G36" s="25"/>
      <c r="H36" s="26"/>
      <c r="I36" s="26"/>
      <c r="J36" s="27"/>
    </row>
    <row r="37" spans="1:10" ht="15.75" hidden="1" customHeight="1" x14ac:dyDescent="0.25">
      <c r="A37" s="25"/>
      <c r="B37" s="26"/>
      <c r="C37" s="26"/>
      <c r="D37" s="26"/>
      <c r="E37" s="26"/>
      <c r="F37" s="26"/>
      <c r="G37" s="25"/>
      <c r="H37" s="26"/>
      <c r="I37" s="26"/>
      <c r="J37" s="27"/>
    </row>
    <row r="38" spans="1:10" ht="15.75" hidden="1" customHeight="1" x14ac:dyDescent="0.25">
      <c r="A38" s="25"/>
      <c r="B38" s="26"/>
      <c r="C38" s="26"/>
      <c r="D38" s="26"/>
      <c r="E38" s="26"/>
      <c r="F38" s="26"/>
      <c r="G38" s="25"/>
      <c r="H38" s="26"/>
      <c r="I38" s="26"/>
      <c r="J38" s="27"/>
    </row>
    <row r="39" spans="1:10" ht="15.75" hidden="1" customHeight="1" x14ac:dyDescent="0.25">
      <c r="A39" s="25"/>
      <c r="B39" s="26"/>
      <c r="C39" s="26"/>
      <c r="D39" s="26"/>
      <c r="E39" s="26"/>
      <c r="F39" s="26"/>
      <c r="G39" s="25"/>
      <c r="H39" s="26"/>
      <c r="I39" s="26"/>
      <c r="J39" s="27"/>
    </row>
    <row r="40" spans="1:10" hidden="1" x14ac:dyDescent="0.25">
      <c r="A40" s="25"/>
      <c r="B40" s="45"/>
      <c r="C40" s="45">
        <v>0.12</v>
      </c>
      <c r="D40" s="45" t="e">
        <f>((NPV(C40,$G$15:$Q$15)+(#REF!*(1+#REF!)/(C40-#REF!))/(1+C40)^(2040-2020))/$D$50)/$C$51-1</f>
        <v>#REF!</v>
      </c>
      <c r="E40" s="26"/>
      <c r="F40" s="26"/>
      <c r="G40" s="25"/>
      <c r="H40" s="26"/>
      <c r="I40" s="26"/>
      <c r="J40" s="27"/>
    </row>
    <row r="41" spans="1:10" hidden="1" x14ac:dyDescent="0.25">
      <c r="A41" s="25"/>
      <c r="B41" s="45"/>
      <c r="C41" s="45">
        <v>0.14000000000000001</v>
      </c>
      <c r="D41" s="45" t="e">
        <f>((NPV(C41,$G$15:$Q$15)+(#REF!*(1+#REF!)/(C41-#REF!))/(1+C41)^(2040-2020))/$D$50)/$C$51-1</f>
        <v>#REF!</v>
      </c>
      <c r="E41" s="26"/>
      <c r="F41" s="26"/>
      <c r="G41" s="25"/>
      <c r="H41" s="26"/>
      <c r="I41" s="26"/>
      <c r="J41" s="27"/>
    </row>
    <row r="42" spans="1:10" hidden="1" x14ac:dyDescent="0.25">
      <c r="A42" s="25"/>
      <c r="B42" s="45"/>
      <c r="C42" s="45">
        <v>0.16</v>
      </c>
      <c r="D42" s="45" t="e">
        <f>((NPV(C42,$G$15:$Q$15)+(#REF!*(1+#REF!)/(C42-#REF!))/(1+C42)^(2040-2020))/$D$50)/$C$51-1</f>
        <v>#REF!</v>
      </c>
      <c r="E42" s="26"/>
      <c r="F42" s="26"/>
      <c r="G42" s="25"/>
      <c r="H42" s="26"/>
      <c r="I42" s="26"/>
      <c r="J42" s="27"/>
    </row>
    <row r="43" spans="1:10" hidden="1" x14ac:dyDescent="0.25">
      <c r="A43" s="25"/>
      <c r="B43" s="45"/>
      <c r="C43" s="45">
        <v>0.18</v>
      </c>
      <c r="D43" s="45" t="e">
        <f>((NPV(C43,$G$15:$Q$15)+(#REF!*(1+#REF!)/(C43-#REF!))/(1+C43)^(2040-2020))/$D$50)/$C$51-1</f>
        <v>#REF!</v>
      </c>
      <c r="E43" s="26"/>
      <c r="F43" s="26"/>
      <c r="G43" s="25"/>
      <c r="H43" s="26"/>
      <c r="I43" s="26"/>
      <c r="J43" s="27"/>
    </row>
    <row r="44" spans="1:10" hidden="1" x14ac:dyDescent="0.25">
      <c r="A44" s="25"/>
      <c r="B44" s="45"/>
      <c r="C44" s="45">
        <v>0.2</v>
      </c>
      <c r="D44" s="45" t="e">
        <f>((NPV(C44,$G$15:$Q$15)+(#REF!*(1+#REF!)/(C44-#REF!))/(1+C44)^(2040-2020))/$D$50)/$C$51-1</f>
        <v>#REF!</v>
      </c>
      <c r="E44" s="26"/>
      <c r="F44" s="26"/>
      <c r="G44" s="25"/>
      <c r="H44" s="26"/>
      <c r="I44" s="26"/>
      <c r="J44" s="27"/>
    </row>
    <row r="45" spans="1:10" x14ac:dyDescent="0.25">
      <c r="A45" s="25"/>
      <c r="B45" s="26"/>
      <c r="C45" s="26"/>
      <c r="D45" s="26"/>
      <c r="E45" s="26"/>
      <c r="F45" s="26"/>
      <c r="G45" s="25"/>
      <c r="H45" s="26"/>
      <c r="I45" s="26"/>
      <c r="J45" s="27"/>
    </row>
    <row r="46" spans="1:10" ht="16.5" thickBot="1" x14ac:dyDescent="0.3">
      <c r="A46" s="29"/>
      <c r="B46" s="30" t="s">
        <v>23</v>
      </c>
      <c r="C46" s="30"/>
      <c r="D46" s="46">
        <f>I33</f>
        <v>8.3500000000000019E-2</v>
      </c>
      <c r="E46" s="30"/>
      <c r="F46" s="30"/>
      <c r="G46" s="29"/>
      <c r="H46" s="30"/>
      <c r="I46" s="30"/>
      <c r="J46" s="31"/>
    </row>
    <row r="48" spans="1:10" x14ac:dyDescent="0.25">
      <c r="A48" s="16"/>
      <c r="B48" s="17"/>
      <c r="C48" s="90">
        <v>44807</v>
      </c>
      <c r="D48" s="18" t="s">
        <v>3</v>
      </c>
      <c r="E48" s="19"/>
      <c r="F48" s="20"/>
      <c r="G48" s="21"/>
      <c r="H48" s="21"/>
      <c r="I48" s="21"/>
    </row>
    <row r="49" spans="1:17" x14ac:dyDescent="0.25">
      <c r="A49" s="47" t="s">
        <v>0</v>
      </c>
      <c r="B49" s="48" t="s">
        <v>5</v>
      </c>
      <c r="C49" s="75">
        <f>C50*C51</f>
        <v>215789.34999999998</v>
      </c>
      <c r="D49" s="49">
        <f>SUM(G19:Q19)</f>
        <v>229172.81359873392</v>
      </c>
      <c r="E49" s="48" t="s">
        <v>47</v>
      </c>
    </row>
    <row r="50" spans="1:17" x14ac:dyDescent="0.25">
      <c r="A50" s="47"/>
      <c r="B50" s="48" t="s">
        <v>11</v>
      </c>
      <c r="C50" s="75">
        <v>397</v>
      </c>
      <c r="D50" s="75">
        <f>C50</f>
        <v>397</v>
      </c>
      <c r="E50" s="48"/>
    </row>
    <row r="51" spans="1:17" x14ac:dyDescent="0.25">
      <c r="A51" s="47"/>
      <c r="B51" s="48" t="s">
        <v>13</v>
      </c>
      <c r="C51" s="94">
        <v>543.54999999999995</v>
      </c>
      <c r="D51" s="58">
        <f>D49/(D50)</f>
        <v>577.26149521091668</v>
      </c>
      <c r="E51" s="48" t="s">
        <v>47</v>
      </c>
    </row>
    <row r="52" spans="1:17" x14ac:dyDescent="0.25">
      <c r="A52" s="47"/>
      <c r="B52" s="48" t="s">
        <v>2</v>
      </c>
      <c r="C52" s="48"/>
      <c r="D52" s="59">
        <f>IF(C51/D51-1&gt;0,0,C51/D51-1)*-1</f>
        <v>5.8399001995792954E-2</v>
      </c>
      <c r="E52" s="48"/>
    </row>
    <row r="53" spans="1:17" x14ac:dyDescent="0.25">
      <c r="A53" s="47"/>
      <c r="B53" s="48" t="s">
        <v>14</v>
      </c>
      <c r="C53" s="48"/>
      <c r="D53" s="60">
        <f>IF(C51/D51-1&lt;0,0,C51/D51-1)</f>
        <v>0</v>
      </c>
      <c r="E53" s="48"/>
    </row>
    <row r="54" spans="1:17" x14ac:dyDescent="0.25">
      <c r="A54" s="48"/>
      <c r="B54" s="48"/>
      <c r="C54" s="48"/>
      <c r="D54" s="50"/>
      <c r="E54" s="50"/>
    </row>
    <row r="55" spans="1:17" x14ac:dyDescent="0.25">
      <c r="A55" s="50" t="s">
        <v>22</v>
      </c>
      <c r="B55" s="48"/>
      <c r="C55" s="52">
        <f>D46</f>
        <v>8.3500000000000019E-2</v>
      </c>
      <c r="D55" s="51"/>
      <c r="E55" s="48"/>
      <c r="J55" s="74"/>
    </row>
    <row r="56" spans="1:17" x14ac:dyDescent="0.25">
      <c r="A56" s="50"/>
      <c r="B56" s="48"/>
      <c r="C56" s="52"/>
      <c r="D56" s="51"/>
      <c r="E56" s="48"/>
    </row>
    <row r="57" spans="1:17" hidden="1" x14ac:dyDescent="0.25">
      <c r="A57" s="50" t="s">
        <v>25</v>
      </c>
      <c r="B57" s="78">
        <v>0.108</v>
      </c>
      <c r="C57" s="52"/>
      <c r="D57" s="79">
        <f>SUM(H57:Q57)*1000</f>
        <v>151456418.91783866</v>
      </c>
      <c r="E57" s="48"/>
      <c r="F57" s="1" t="s">
        <v>26</v>
      </c>
      <c r="H57" s="1">
        <f>G15/(1+$B$57)</f>
        <v>8174.0159855595666</v>
      </c>
      <c r="I57" s="1">
        <f>H15/(1+$B$57)^2</f>
        <v>7695.3148516206365</v>
      </c>
      <c r="J57" s="1">
        <f>I15/(1+$B$57)^3</f>
        <v>7686.8386246147929</v>
      </c>
      <c r="K57" s="1">
        <f>J15/(1+$B$57)^4</f>
        <v>7798.2113114985032</v>
      </c>
      <c r="L57" s="1">
        <f>K15/(1+$B$57)^5</f>
        <v>7461.3527871353599</v>
      </c>
      <c r="M57" s="1">
        <f>L15/(1+$B$57)^6</f>
        <v>7552.7249137138542</v>
      </c>
      <c r="N57" s="1">
        <f>M15/(1+$B$57)^7</f>
        <v>7572.912355339653</v>
      </c>
      <c r="O57" s="1">
        <f>N15/(1+$B$57)^8</f>
        <v>7520.8134419216731</v>
      </c>
      <c r="P57" s="1">
        <f>O15/(1+$B$57)^9</f>
        <v>7262.8794069099195</v>
      </c>
      <c r="Q57" s="1">
        <f>(Q15/(B57-Q12))/(1+B57)^10</f>
        <v>82731.35523952471</v>
      </c>
    </row>
    <row r="58" spans="1:17" ht="16.5" thickBot="1" x14ac:dyDescent="0.3">
      <c r="A58" s="22"/>
      <c r="C58" s="69"/>
      <c r="D58" s="70"/>
    </row>
    <row r="59" spans="1:17" x14ac:dyDescent="0.25">
      <c r="A59" s="61" t="s">
        <v>43</v>
      </c>
      <c r="B59" s="23"/>
      <c r="C59" s="71">
        <v>25</v>
      </c>
      <c r="D59" s="23"/>
      <c r="E59" s="24"/>
    </row>
    <row r="60" spans="1:17" x14ac:dyDescent="0.25">
      <c r="A60" s="25" t="s">
        <v>24</v>
      </c>
      <c r="B60" s="26"/>
      <c r="C60" s="72" t="s">
        <v>45</v>
      </c>
      <c r="D60" s="26"/>
      <c r="E60" s="27"/>
    </row>
    <row r="61" spans="1:17" x14ac:dyDescent="0.25">
      <c r="A61" s="25"/>
      <c r="B61" s="26"/>
      <c r="C61" s="72"/>
      <c r="D61" s="26"/>
      <c r="E61" s="27"/>
    </row>
    <row r="62" spans="1:17" x14ac:dyDescent="0.25">
      <c r="A62" s="25" t="s">
        <v>40</v>
      </c>
      <c r="B62" s="26"/>
      <c r="C62" s="72"/>
      <c r="D62" s="26"/>
      <c r="E62" s="62">
        <f>P17*C59</f>
        <v>1264.7664911679235</v>
      </c>
    </row>
    <row r="63" spans="1:17" x14ac:dyDescent="0.25">
      <c r="A63" s="25"/>
      <c r="B63" s="26"/>
      <c r="C63" s="72"/>
      <c r="D63" s="26"/>
      <c r="E63" s="27"/>
    </row>
    <row r="64" spans="1:17" x14ac:dyDescent="0.25">
      <c r="A64" s="25" t="s">
        <v>17</v>
      </c>
      <c r="B64" s="26"/>
      <c r="C64" s="73">
        <v>0.1</v>
      </c>
      <c r="D64" s="26"/>
      <c r="E64" s="27"/>
    </row>
    <row r="65" spans="1:5" x14ac:dyDescent="0.25">
      <c r="A65" s="25"/>
      <c r="B65" s="26"/>
      <c r="C65" s="26"/>
      <c r="D65" s="26"/>
      <c r="E65" s="27"/>
    </row>
    <row r="66" spans="1:5" x14ac:dyDescent="0.25">
      <c r="A66" s="25" t="s">
        <v>18</v>
      </c>
      <c r="B66" s="26"/>
      <c r="C66" s="26"/>
      <c r="D66" s="26"/>
      <c r="E66" s="62">
        <f>SUM(G17:Q17)*C64</f>
        <v>34.928787886364368</v>
      </c>
    </row>
    <row r="67" spans="1:5" x14ac:dyDescent="0.25">
      <c r="A67" s="25"/>
      <c r="B67" s="26"/>
      <c r="C67" s="26"/>
      <c r="D67" s="26"/>
      <c r="E67" s="63"/>
    </row>
    <row r="68" spans="1:5" x14ac:dyDescent="0.25">
      <c r="A68" s="64" t="s">
        <v>48</v>
      </c>
      <c r="B68" s="26"/>
      <c r="C68" s="26"/>
      <c r="D68" s="26"/>
      <c r="E68" s="65">
        <f>(E66*0.25)*-1</f>
        <v>-8.7321969715910921</v>
      </c>
    </row>
    <row r="69" spans="1:5" x14ac:dyDescent="0.25">
      <c r="A69" s="25"/>
      <c r="B69" s="26"/>
      <c r="C69" s="45"/>
      <c r="D69" s="45"/>
      <c r="E69" s="66"/>
    </row>
    <row r="70" spans="1:5" x14ac:dyDescent="0.25">
      <c r="A70" s="25" t="s">
        <v>19</v>
      </c>
      <c r="B70" s="26"/>
      <c r="C70" s="26"/>
      <c r="D70" s="26"/>
      <c r="E70" s="62">
        <f>SUM(E62:E68)</f>
        <v>1290.9630820826967</v>
      </c>
    </row>
    <row r="71" spans="1:5" x14ac:dyDescent="0.25">
      <c r="A71" s="25"/>
      <c r="B71" s="26"/>
      <c r="C71" s="26"/>
      <c r="D71" s="26"/>
      <c r="E71" s="62"/>
    </row>
    <row r="72" spans="1:5" x14ac:dyDescent="0.25">
      <c r="A72" s="25" t="s">
        <v>20</v>
      </c>
      <c r="B72" s="26"/>
      <c r="C72" s="26"/>
      <c r="D72" s="26"/>
      <c r="E72" s="66">
        <f>E70/C51-1</f>
        <v>1.3750585633018062</v>
      </c>
    </row>
    <row r="73" spans="1:5" x14ac:dyDescent="0.25">
      <c r="A73" s="25"/>
      <c r="B73" s="26"/>
      <c r="C73" s="26"/>
      <c r="D73" s="26"/>
      <c r="E73" s="27"/>
    </row>
    <row r="74" spans="1:5" ht="16.5" thickBot="1" x14ac:dyDescent="0.3">
      <c r="A74" s="67" t="s">
        <v>21</v>
      </c>
      <c r="B74" s="68"/>
      <c r="C74" s="68"/>
      <c r="D74" s="68"/>
      <c r="E74" s="112">
        <f>(E70/C51)^(1/10)-1</f>
        <v>9.0353776897030391E-2</v>
      </c>
    </row>
  </sheetData>
  <conditionalFormatting sqref="L6:L8">
    <cfRule type="top10" dxfId="3" priority="6" percent="1" rank="10"/>
  </conditionalFormatting>
  <conditionalFormatting sqref="G6:J8">
    <cfRule type="top10" dxfId="2" priority="5" percent="1" rank="10"/>
  </conditionalFormatting>
  <conditionalFormatting sqref="L9">
    <cfRule type="top10" dxfId="1" priority="4" percent="1" rank="10"/>
  </conditionalFormatting>
  <conditionalFormatting sqref="L2:L5">
    <cfRule type="top10" dxfId="0" priority="3" percent="1" rank="10"/>
  </conditionalFormatting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Pessimistisch</vt:lpstr>
      <vt:lpstr>Optimistisch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Jakob</dc:creator>
  <cp:lastModifiedBy>Robert Hahn</cp:lastModifiedBy>
  <cp:lastPrinted>2021-08-03T18:16:56Z</cp:lastPrinted>
  <dcterms:created xsi:type="dcterms:W3CDTF">2020-02-09T06:30:31Z</dcterms:created>
  <dcterms:modified xsi:type="dcterms:W3CDTF">2022-09-03T09:32:42Z</dcterms:modified>
</cp:coreProperties>
</file>