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B1F15376-ADAA-4954-91A7-1134F5E58AC1}" xr6:coauthVersionLast="44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34" l="1"/>
  <c r="D50" i="32"/>
  <c r="G18" i="34"/>
  <c r="G18" i="32"/>
  <c r="G19" i="32"/>
  <c r="D49" i="32"/>
  <c r="J12" i="34" l="1"/>
  <c r="J12" i="32" l="1"/>
  <c r="G14" i="32" l="1"/>
  <c r="H14" i="32"/>
  <c r="I14" i="32"/>
  <c r="D14" i="32"/>
  <c r="E14" i="32"/>
  <c r="F14" i="32"/>
  <c r="C14" i="32"/>
  <c r="I25" i="32" l="1"/>
  <c r="C14" i="34" l="1"/>
  <c r="D14" i="34"/>
  <c r="E14" i="34"/>
  <c r="F14" i="34"/>
  <c r="G14" i="34"/>
  <c r="H14" i="34"/>
  <c r="I14" i="34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H18" i="34" l="1"/>
  <c r="I18" i="34" s="1"/>
  <c r="J18" i="34" s="1"/>
  <c r="K18" i="34" s="1"/>
  <c r="L18" i="34" s="1"/>
  <c r="M18" i="34" s="1"/>
  <c r="N18" i="34" s="1"/>
  <c r="O18" i="34" s="1"/>
  <c r="P18" i="34" s="1"/>
  <c r="C16" i="34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H19" i="34" l="1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19" i="32" l="1"/>
  <c r="K57" i="32"/>
  <c r="K57" i="34" l="1"/>
  <c r="J17" i="34"/>
  <c r="J19" i="34"/>
  <c r="J57" i="34" l="1"/>
  <c r="I16" i="34"/>
  <c r="I19" i="34"/>
  <c r="I17" i="34"/>
  <c r="K11" i="32" l="1"/>
  <c r="L11" i="32" s="1"/>
  <c r="L14" i="32" s="1"/>
  <c r="L15" i="32" s="1"/>
  <c r="J14" i="32"/>
  <c r="J16" i="32" s="1"/>
  <c r="K14" i="32" l="1"/>
  <c r="K15" i="32" s="1"/>
  <c r="K19" i="32" s="1"/>
  <c r="M11" i="32"/>
  <c r="M14" i="32" s="1"/>
  <c r="M15" i="32" s="1"/>
  <c r="L57" i="32"/>
  <c r="M57" i="32"/>
  <c r="L19" i="32"/>
  <c r="N11" i="32" l="1"/>
  <c r="N14" i="32" s="1"/>
  <c r="N15" i="32" s="1"/>
  <c r="N57" i="32"/>
  <c r="M19" i="32"/>
  <c r="O11" i="32" l="1"/>
  <c r="O14" i="32" s="1"/>
  <c r="O15" i="32" s="1"/>
  <c r="N19" i="32"/>
  <c r="O57" i="32"/>
  <c r="P11" i="32" l="1"/>
  <c r="P14" i="32" s="1"/>
  <c r="P15" i="32" s="1"/>
  <c r="P57" i="32"/>
  <c r="O19" i="32"/>
  <c r="Q11" i="32" l="1"/>
  <c r="Q14" i="32" s="1"/>
  <c r="Q15" i="32" s="1"/>
  <c r="Q57" i="32" s="1"/>
  <c r="D57" i="32" s="1"/>
  <c r="P19" i="32"/>
  <c r="Q19" i="32" l="1"/>
  <c r="J14" i="34" l="1"/>
  <c r="J16" i="34" s="1"/>
  <c r="K11" i="34" l="1"/>
  <c r="L11" i="34" l="1"/>
  <c r="K14" i="34"/>
  <c r="K15" i="34" s="1"/>
  <c r="L14" i="34" l="1"/>
  <c r="L15" i="34" s="1"/>
  <c r="M11" i="34"/>
  <c r="L57" i="34"/>
  <c r="K19" i="34"/>
  <c r="K17" i="34"/>
  <c r="M14" i="34" l="1"/>
  <c r="M15" i="34" s="1"/>
  <c r="N11" i="34"/>
  <c r="M57" i="34"/>
  <c r="L19" i="34"/>
  <c r="L17" i="34"/>
  <c r="N14" i="34" l="1"/>
  <c r="N15" i="34" s="1"/>
  <c r="O11" i="34"/>
  <c r="M17" i="34"/>
  <c r="M19" i="34"/>
  <c r="N57" i="34"/>
  <c r="O14" i="34" l="1"/>
  <c r="O15" i="34" s="1"/>
  <c r="P11" i="34"/>
  <c r="N19" i="34"/>
  <c r="O57" i="34"/>
  <c r="N17" i="34"/>
  <c r="Q11" i="34" l="1"/>
  <c r="Q14" i="34" s="1"/>
  <c r="Q15" i="34" s="1"/>
  <c r="P14" i="34"/>
  <c r="P15" i="34" s="1"/>
  <c r="O19" i="34"/>
  <c r="P57" i="34"/>
  <c r="O17" i="34"/>
  <c r="D44" i="34" l="1"/>
  <c r="D40" i="34"/>
  <c r="D42" i="34"/>
  <c r="P19" i="34"/>
  <c r="P17" i="34"/>
  <c r="E62" i="34" s="1"/>
  <c r="D41" i="34"/>
  <c r="Q19" i="34"/>
  <c r="Q57" i="34"/>
  <c r="D57" i="34" s="1"/>
  <c r="D43" i="34"/>
  <c r="D49" i="34" l="1"/>
  <c r="D51" i="34" s="1"/>
  <c r="D53" i="34" s="1"/>
  <c r="E66" i="34"/>
  <c r="E68" i="34" s="1"/>
  <c r="D52" i="34" l="1"/>
  <c r="E70" i="34"/>
  <c r="E72" i="34" s="1"/>
  <c r="E74" i="34" l="1"/>
  <c r="D51" i="32" l="1"/>
  <c r="D52" i="32" s="1"/>
  <c r="D42" i="32"/>
  <c r="D44" i="32"/>
  <c r="D41" i="32"/>
  <c r="D43" i="32"/>
  <c r="H18" i="32"/>
  <c r="D40" i="32"/>
  <c r="H17" i="32" l="1"/>
  <c r="I18" i="32"/>
  <c r="D53" i="32"/>
  <c r="G17" i="32"/>
  <c r="J18" i="32" l="1"/>
  <c r="I17" i="32"/>
  <c r="K18" i="32" l="1"/>
  <c r="J17" i="32"/>
  <c r="K17" i="32" l="1"/>
  <c r="L18" i="32"/>
  <c r="M18" i="32" l="1"/>
  <c r="L17" i="32"/>
  <c r="N18" i="32" l="1"/>
  <c r="M17" i="32"/>
  <c r="O18" i="32" l="1"/>
  <c r="N17" i="32"/>
  <c r="P18" i="32" l="1"/>
  <c r="P17" i="32" s="1"/>
  <c r="O17" i="32"/>
  <c r="E62" i="32" l="1"/>
  <c r="E66" i="32"/>
  <c r="E68" i="32" s="1"/>
  <c r="E70" i="32" l="1"/>
  <c r="E74" i="32" l="1"/>
  <c r="E72" i="32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<sst xmlns="http://schemas.openxmlformats.org/spreadsheetml/2006/main" count="99" uniqueCount="49">
  <si>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</si>
  <si>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</si>
  <si>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</si>
  <si>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</si>
  <si>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</si>
  <si>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</si>
  <si>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</si>
  <si>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</si>
  <si>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</si>
  <si>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</si>
  <si>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</si>
  <si>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</si>
  <si>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</si>
  <si>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</si>
  <si>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</si>
  <si>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</si>
  <si>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</si>
  <si>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</si>
  <si>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</si>
  <si>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</si>
  <si>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</si>
  <si>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</si>
  <si>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</si>
  <si>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</si>
  <si>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</si>
  <si>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</si>
  <si>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</si>
  <si>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</si>
  <si>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</si>
  <si>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</si>
  <si>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</si>
  <si>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</si>
  <si>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</si>
  <si>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</si>
  <si>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</si>
  <si>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</si>
  <si>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</si>
  <si>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</si>
  <si>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</si>
  <si>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</si>
  <si>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</si>
  <si>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</si>
  <si>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</si>
  <si>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</si>
  <si>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2032ff.</t>
  </si>
  <si>
    <t xml:space="preserve"> </t>
  </si>
  <si>
    <t xml:space="preserve"> Annahmen für Thermo Fisher</t>
  </si>
  <si>
    <t>USD</t>
  </si>
  <si>
    <t>Quellensteuer USA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</si>
</sst>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>
      <selection activeCell="D51" sqref="D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25">
      <c r="A11" s="5"/>
      <c r="B11" s="4" t="s">
        <v>4</v>
      </c>
      <c r="C11" s="88">
        <v>24358</v>
      </c>
      <c r="D11" s="88">
        <v>25542</v>
      </c>
      <c r="E11" s="88">
        <v>32218</v>
      </c>
      <c r="F11" s="88">
        <v>39211</v>
      </c>
      <c r="G11" s="77">
        <v>43209.97</v>
      </c>
      <c r="H11" s="77">
        <v>44478.63</v>
      </c>
      <c r="I11" s="77">
        <v>48206.71</v>
      </c>
      <c r="J11" s="77">
        <v>52259.42</v>
      </c>
      <c r="K11" s="77">
        <f>J11*(1+K12)</f>
        <v>55917.579400000002</v>
      </c>
      <c r="L11" s="77">
        <f>K11*(1+L12)</f>
        <v>59831.809958000005</v>
      </c>
      <c r="M11" s="77">
        <f t="shared" ref="M11:Q11" si="0">L11*(1+M12)</f>
        <v>63421.718555480009</v>
      </c>
      <c r="N11" s="77">
        <f t="shared" si="0"/>
        <v>66592.804483254018</v>
      </c>
      <c r="O11" s="77">
        <f t="shared" si="0"/>
        <v>69256.516662584181</v>
      </c>
      <c r="P11" s="77">
        <f t="shared" si="0"/>
        <v>70641.646995835865</v>
      </c>
      <c r="Q11" s="77">
        <f t="shared" si="0"/>
        <v>71701.271700773403</v>
      </c>
    </row>
    <row r="12" spans="1:28" x14ac:dyDescent="0.25">
      <c r="A12" s="5"/>
      <c r="B12" s="4" t="s">
        <v>1</v>
      </c>
      <c r="C12" s="93"/>
      <c r="D12" s="96">
        <f>D11/C11-1</f>
        <v>4.860826011987851E-2</v>
      </c>
      <c r="E12" s="96">
        <f t="shared" ref="E12:F12" si="1">E11/D11-1</f>
        <v>0.2613734241641219</v>
      </c>
      <c r="F12" s="96">
        <f t="shared" si="1"/>
        <v>0.21705257930349497</v>
      </c>
      <c r="G12" s="92">
        <f>G11/F11-1</f>
        <v>0.10198592231771708</v>
      </c>
      <c r="H12" s="92">
        <f t="shared" ref="H12:J12" si="2">H11/G11-1</f>
        <v>2.9360353640606407E-2</v>
      </c>
      <c r="I12" s="92">
        <f t="shared" si="2"/>
        <v>8.3817329805347063E-2</v>
      </c>
      <c r="J12" s="92">
        <f t="shared" si="2"/>
        <v>8.4069416892378568E-2</v>
      </c>
      <c r="K12" s="92">
        <v>7.0000000000000007E-2</v>
      </c>
      <c r="L12" s="76">
        <v>7.0000000000000007E-2</v>
      </c>
      <c r="M12" s="76">
        <v>0.06</v>
      </c>
      <c r="N12" s="76">
        <v>0.05</v>
      </c>
      <c r="O12" s="76">
        <v>0.04</v>
      </c>
      <c r="P12" s="76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5">
        <v>0.159</v>
      </c>
      <c r="D13" s="95">
        <v>0.16669999999999999</v>
      </c>
      <c r="E13" s="95">
        <v>0.246</v>
      </c>
      <c r="F13" s="95">
        <v>0.2631</v>
      </c>
      <c r="G13" s="91">
        <v>0.252</v>
      </c>
      <c r="H13" s="91">
        <v>0.25130000000000002</v>
      </c>
      <c r="I13" s="91">
        <v>0.25419999999999998</v>
      </c>
      <c r="J13" s="91">
        <v>0.25230000000000002</v>
      </c>
      <c r="K13" s="91">
        <v>0.255</v>
      </c>
      <c r="L13" s="91">
        <v>0.255</v>
      </c>
      <c r="M13" s="91">
        <v>0.26</v>
      </c>
      <c r="N13" s="91">
        <v>0.26</v>
      </c>
      <c r="O13" s="91">
        <v>0.26</v>
      </c>
      <c r="P13" s="91">
        <v>0.26</v>
      </c>
      <c r="Q13" s="91">
        <v>0.26</v>
      </c>
    </row>
    <row r="14" spans="1:28" ht="17.100000000000001" customHeight="1" x14ac:dyDescent="0.25">
      <c r="A14" s="5"/>
      <c r="B14" s="4" t="s">
        <v>16</v>
      </c>
      <c r="C14" s="88">
        <f>C11*C13</f>
        <v>3872.922</v>
      </c>
      <c r="D14" s="88">
        <f t="shared" ref="D14:F14" si="3">D11*D13</f>
        <v>4257.8513999999996</v>
      </c>
      <c r="E14" s="88">
        <f t="shared" si="3"/>
        <v>7925.6279999999997</v>
      </c>
      <c r="F14" s="88">
        <f t="shared" si="3"/>
        <v>10316.4141</v>
      </c>
      <c r="G14" s="77">
        <f>G11*G13</f>
        <v>10888.91244</v>
      </c>
      <c r="H14" s="77">
        <f t="shared" ref="H14:J14" si="4">H11*H13</f>
        <v>11177.479719000001</v>
      </c>
      <c r="I14" s="77">
        <f t="shared" si="4"/>
        <v>12254.145681999998</v>
      </c>
      <c r="J14" s="77">
        <f t="shared" si="4"/>
        <v>13185.051666000001</v>
      </c>
      <c r="K14" s="77">
        <f t="shared" ref="K14:Q14" si="5">K11*K13</f>
        <v>14258.982747</v>
      </c>
      <c r="L14" s="77">
        <f t="shared" si="5"/>
        <v>15257.111539290001</v>
      </c>
      <c r="M14" s="77">
        <f t="shared" si="5"/>
        <v>16489.646824424803</v>
      </c>
      <c r="N14" s="77">
        <f t="shared" si="5"/>
        <v>17314.129165646045</v>
      </c>
      <c r="O14" s="77">
        <f t="shared" si="5"/>
        <v>18006.694332271887</v>
      </c>
      <c r="P14" s="77">
        <f t="shared" si="5"/>
        <v>18366.828218917326</v>
      </c>
      <c r="Q14" s="77">
        <f t="shared" si="5"/>
        <v>18642.330642201086</v>
      </c>
    </row>
    <row r="15" spans="1:28" x14ac:dyDescent="0.25">
      <c r="A15" s="108">
        <v>0.2</v>
      </c>
      <c r="B15" s="4" t="s">
        <v>42</v>
      </c>
      <c r="C15" s="88">
        <v>2937.5747999999999</v>
      </c>
      <c r="D15" s="88">
        <v>3695.9274</v>
      </c>
      <c r="E15" s="88">
        <v>6375.9421999999995</v>
      </c>
      <c r="F15" s="88">
        <v>7724.567</v>
      </c>
      <c r="G15" s="77">
        <v>9056.8097120000002</v>
      </c>
      <c r="H15" s="77">
        <v>9447.261011999999</v>
      </c>
      <c r="I15" s="77">
        <v>10456.035399</v>
      </c>
      <c r="J15" s="77">
        <v>11753.143558</v>
      </c>
      <c r="K15" s="77">
        <f>K14*(1-$A$15)</f>
        <v>11407.1861976</v>
      </c>
      <c r="L15" s="77">
        <f>L14*(1-$A$15)</f>
        <v>12205.689231432001</v>
      </c>
      <c r="M15" s="77">
        <f t="shared" ref="M15:P15" si="6">M14*(1-$A$15)</f>
        <v>13191.717459539843</v>
      </c>
      <c r="N15" s="77">
        <f t="shared" si="6"/>
        <v>13851.303332516836</v>
      </c>
      <c r="O15" s="77">
        <f t="shared" si="6"/>
        <v>14405.355465817511</v>
      </c>
      <c r="P15" s="77">
        <f t="shared" si="6"/>
        <v>14693.462575133861</v>
      </c>
      <c r="Q15" s="77">
        <f>Q14*(1-$A$15)</f>
        <v>14913.864513760869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0.75849056603773579</v>
      </c>
      <c r="D16" s="15">
        <f t="shared" si="7"/>
        <v>0.86802639472105592</v>
      </c>
      <c r="E16" s="15">
        <f t="shared" si="7"/>
        <v>0.80447154471544713</v>
      </c>
      <c r="F16" s="15">
        <f t="shared" si="7"/>
        <v>0.7487647282402129</v>
      </c>
      <c r="G16" s="15">
        <f t="shared" si="7"/>
        <v>0.83174603174603179</v>
      </c>
      <c r="H16" s="15">
        <f t="shared" si="7"/>
        <v>0.84520493434142441</v>
      </c>
      <c r="I16" s="15">
        <f t="shared" si="7"/>
        <v>0.85326514555468147</v>
      </c>
      <c r="J16" s="15">
        <f t="shared" si="7"/>
        <v>0.89139912802219567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22.813122700251888</v>
      </c>
      <c r="H17" s="77">
        <f t="shared" ref="H17:P17" si="8">H15/H18</f>
        <v>23.796627234256924</v>
      </c>
      <c r="I17" s="77">
        <f t="shared" si="8"/>
        <v>26.33762065239295</v>
      </c>
      <c r="J17" s="77">
        <f t="shared" si="8"/>
        <v>29.604895612090679</v>
      </c>
      <c r="K17" s="77">
        <f t="shared" si="8"/>
        <v>28.733466492695214</v>
      </c>
      <c r="L17" s="77">
        <f t="shared" si="8"/>
        <v>30.744809147183883</v>
      </c>
      <c r="M17" s="77">
        <f t="shared" si="8"/>
        <v>33.228507454760312</v>
      </c>
      <c r="N17" s="77">
        <f t="shared" si="8"/>
        <v>34.889932827498328</v>
      </c>
      <c r="O17" s="77">
        <f t="shared" si="8"/>
        <v>36.285530140598262</v>
      </c>
      <c r="P17" s="77">
        <f t="shared" si="8"/>
        <v>37.011240743410227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C50</f>
        <v>397</v>
      </c>
      <c r="H18" s="77">
        <f>G18*1</f>
        <v>397</v>
      </c>
      <c r="I18" s="77">
        <f>H18*1</f>
        <v>397</v>
      </c>
      <c r="J18" s="77">
        <f t="shared" ref="J18:P18" si="9">I18*1</f>
        <v>397</v>
      </c>
      <c r="K18" s="77">
        <f t="shared" si="9"/>
        <v>397</v>
      </c>
      <c r="L18" s="77">
        <f t="shared" si="9"/>
        <v>397</v>
      </c>
      <c r="M18" s="77">
        <f t="shared" si="9"/>
        <v>397</v>
      </c>
      <c r="N18" s="77">
        <f t="shared" si="9"/>
        <v>397</v>
      </c>
      <c r="O18" s="77">
        <f t="shared" si="9"/>
        <v>397</v>
      </c>
      <c r="P18" s="77">
        <f t="shared" si="9"/>
        <v>397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8358.8460655283816</v>
      </c>
      <c r="H19" s="55">
        <f>H15/(1+$C$55)^2</f>
        <v>8047.2609229051204</v>
      </c>
      <c r="I19" s="55">
        <f>I15/(1+$C$55)^3</f>
        <v>8220.1605117443305</v>
      </c>
      <c r="J19" s="55">
        <f>J15/(1+$C$55)^4</f>
        <v>8527.8269367331068</v>
      </c>
      <c r="K19" s="55">
        <f>K15/(1+$C$55)^5</f>
        <v>7638.9550101028444</v>
      </c>
      <c r="L19" s="55">
        <f>L15/(1+$C$55)^6</f>
        <v>7543.7765212829217</v>
      </c>
      <c r="M19" s="55">
        <f>M15/(1+$C$55)^7</f>
        <v>7524.8687867588651</v>
      </c>
      <c r="N19" s="55">
        <f>N15/(1+$C$55)^8</f>
        <v>7292.2124837072524</v>
      </c>
      <c r="O19" s="55">
        <f>O15/(1+$C$55)^9</f>
        <v>6999.4471463364498</v>
      </c>
      <c r="P19" s="55">
        <f>P15/(1+$C$55)^10</f>
        <v>6589.2349693245778</v>
      </c>
      <c r="Q19" s="56">
        <f>(Q15/(C55-Q12))/(1+C55)^10</f>
        <v>97636.109399480934</v>
      </c>
    </row>
    <row r="20" spans="1:18" x14ac:dyDescent="0.2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2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97" t="s">
        <v>28</v>
      </c>
      <c r="H23" s="98"/>
      <c r="I23" s="99">
        <v>2.5000000000000001E-2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100"/>
      <c r="H24" s="101"/>
      <c r="I24" s="102"/>
      <c r="J24" s="27"/>
    </row>
    <row r="25" spans="1:18" x14ac:dyDescent="0.25">
      <c r="A25" s="36"/>
      <c r="B25" s="37"/>
      <c r="C25" s="37"/>
      <c r="D25" s="39"/>
      <c r="E25" s="26"/>
      <c r="F25" s="37"/>
      <c r="G25" s="100" t="s">
        <v>30</v>
      </c>
      <c r="H25" s="101"/>
      <c r="I25" s="103">
        <f>(I27-I23)*I29</f>
        <v>5.850000000000001E-2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100"/>
      <c r="H26" s="101"/>
      <c r="I26" s="102"/>
      <c r="J26" s="27"/>
    </row>
    <row r="27" spans="1:18" x14ac:dyDescent="0.25">
      <c r="A27" s="36"/>
      <c r="B27" s="37"/>
      <c r="C27" s="37"/>
      <c r="D27" s="39"/>
      <c r="E27" s="26"/>
      <c r="F27" s="37"/>
      <c r="G27" s="100" t="s">
        <v>31</v>
      </c>
      <c r="H27" s="101"/>
      <c r="I27" s="104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100"/>
      <c r="H28" s="101"/>
      <c r="I28" s="102"/>
      <c r="J28" s="27"/>
    </row>
    <row r="29" spans="1:18" x14ac:dyDescent="0.25">
      <c r="A29" s="36"/>
      <c r="B29" s="37"/>
      <c r="C29" s="37"/>
      <c r="D29" s="40"/>
      <c r="E29" s="26"/>
      <c r="F29" s="37"/>
      <c r="G29" s="100" t="s">
        <v>38</v>
      </c>
      <c r="H29" s="101"/>
      <c r="I29" s="102">
        <v>1.3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100"/>
      <c r="H30" s="101"/>
      <c r="I30" s="102"/>
      <c r="J30" s="27"/>
    </row>
    <row r="31" spans="1:18" x14ac:dyDescent="0.25">
      <c r="A31" s="36"/>
      <c r="B31" s="37"/>
      <c r="C31" s="37"/>
      <c r="D31" s="38"/>
      <c r="E31" s="26"/>
      <c r="F31" s="37"/>
      <c r="G31" s="100" t="s">
        <v>34</v>
      </c>
      <c r="H31" s="101"/>
      <c r="I31" s="104">
        <f>I23+(I27-I23)*I29</f>
        <v>8.3500000000000019E-2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100"/>
      <c r="H32" s="101"/>
      <c r="I32" s="101"/>
      <c r="J32" s="27"/>
    </row>
    <row r="33" spans="1:10" x14ac:dyDescent="0.25">
      <c r="A33" s="25"/>
      <c r="B33" s="26"/>
      <c r="C33" s="26"/>
      <c r="D33" s="26"/>
      <c r="E33" s="26"/>
      <c r="F33" s="26"/>
      <c r="G33" s="105" t="s">
        <v>37</v>
      </c>
      <c r="H33" s="106"/>
      <c r="I33" s="107">
        <f>I31</f>
        <v>8.3500000000000019E-2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100"/>
      <c r="H34" s="101"/>
      <c r="I34" s="101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8.3500000000000019E-2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0">
        <v>44807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215789.34999999998</v>
      </c>
      <c r="D49" s="49">
        <f>SUM(G19:Q19)</f>
        <v>174378.69875390478</v>
      </c>
      <c r="E49" s="48" t="s">
        <v>47</v>
      </c>
    </row>
    <row r="50" spans="1:17" x14ac:dyDescent="0.25">
      <c r="A50" s="47"/>
      <c r="B50" s="48" t="s">
        <v>11</v>
      </c>
      <c r="C50" s="75">
        <v>397</v>
      </c>
      <c r="D50" s="75">
        <f>C50</f>
        <v>397</v>
      </c>
      <c r="E50" s="48"/>
    </row>
    <row r="51" spans="1:17" x14ac:dyDescent="0.25">
      <c r="A51" s="47"/>
      <c r="B51" s="48" t="s">
        <v>13</v>
      </c>
      <c r="C51" s="94">
        <v>543.54999999999995</v>
      </c>
      <c r="D51" s="58">
        <f>D49/(D50)</f>
        <v>439.24105479572995</v>
      </c>
      <c r="E51" s="48" t="s">
        <v>47</v>
      </c>
    </row>
    <row r="52" spans="1:17" x14ac:dyDescent="0.25">
      <c r="A52" s="47"/>
      <c r="B52" s="48" t="s">
        <v>2</v>
      </c>
      <c r="C52" s="48"/>
      <c r="D52" s="59">
        <f>IF(C51/D51-1&gt;0,0,C51/D51-1)*-1</f>
        <v>0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0.23747540004606149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8.3500000000000019E-2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120543469.36428954</v>
      </c>
      <c r="E57" s="48"/>
      <c r="F57" s="1" t="s">
        <v>26</v>
      </c>
      <c r="H57" s="1">
        <f>G15/(1+$B$57)</f>
        <v>8174.0159855595666</v>
      </c>
      <c r="I57" s="1">
        <f>H15/(1+$B$57)^2</f>
        <v>7695.3148516206365</v>
      </c>
      <c r="J57" s="1">
        <f>I15/(1+$B$57)^3</f>
        <v>7686.8386246147929</v>
      </c>
      <c r="K57" s="1">
        <f>J15/(1+$B$57)^4</f>
        <v>7798.2113114985032</v>
      </c>
      <c r="L57" s="1">
        <f>K15/(1+$B$57)^5</f>
        <v>6830.9283270458482</v>
      </c>
      <c r="M57" s="1">
        <f>L15/(1+$B$57)^6</f>
        <v>6596.6546118583547</v>
      </c>
      <c r="N57" s="1">
        <f>M15/(1+$B$57)^7</f>
        <v>6434.6216855247494</v>
      </c>
      <c r="O57" s="1">
        <f>N15/(1+$B$57)^8</f>
        <v>6097.7913084846432</v>
      </c>
      <c r="P57" s="1">
        <f>O15/(1+$B$57)^9</f>
        <v>5723.5586289025532</v>
      </c>
      <c r="Q57" s="1">
        <f>(Q15/(B57-Q12))/(1+B57)^10</f>
        <v>57505.534029179893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17</v>
      </c>
      <c r="D59" s="23"/>
      <c r="E59" s="24"/>
    </row>
    <row r="60" spans="1:17" x14ac:dyDescent="0.25">
      <c r="A60" s="25" t="s">
        <v>24</v>
      </c>
      <c r="B60" s="26"/>
      <c r="C60" s="72"/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629.19109263797384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0.05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15.172287650256933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48</v>
      </c>
      <c r="B68" s="26"/>
      <c r="C68" s="26"/>
      <c r="D68" s="26"/>
      <c r="E68" s="65">
        <f>(E66*0.25)*-1</f>
        <v>-3.7930719125642334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640.57030837566663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0.1784938062288044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109" t="s">
        <v>21</v>
      </c>
      <c r="B74" s="110"/>
      <c r="C74" s="110"/>
      <c r="D74" s="110"/>
      <c r="E74" s="112">
        <f>(E70/C51)^(1/10)-1</f>
        <v>1.6559329436509618E-2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D51" sqref="D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25">
      <c r="A11" s="5"/>
      <c r="B11" s="4" t="s">
        <v>4</v>
      </c>
      <c r="C11" s="88">
        <v>24358</v>
      </c>
      <c r="D11" s="88">
        <v>25542</v>
      </c>
      <c r="E11" s="88">
        <v>32218</v>
      </c>
      <c r="F11" s="88">
        <v>39211</v>
      </c>
      <c r="G11" s="77">
        <v>43209.97</v>
      </c>
      <c r="H11" s="77">
        <v>44478.63</v>
      </c>
      <c r="I11" s="77">
        <v>48206.71</v>
      </c>
      <c r="J11" s="77">
        <v>52259.42</v>
      </c>
      <c r="K11" s="77">
        <f t="shared" ref="K11:Q11" si="0">J11*(1+K12)</f>
        <v>57485.362000000001</v>
      </c>
      <c r="L11" s="77">
        <f t="shared" si="0"/>
        <v>63233.898200000003</v>
      </c>
      <c r="M11" s="77">
        <f t="shared" si="0"/>
        <v>68924.949038000006</v>
      </c>
      <c r="N11" s="77">
        <f t="shared" si="0"/>
        <v>74438.944961040004</v>
      </c>
      <c r="O11" s="77">
        <f t="shared" si="0"/>
        <v>79649.671108312803</v>
      </c>
      <c r="P11" s="77">
        <f t="shared" si="0"/>
        <v>83632.154663728448</v>
      </c>
      <c r="Q11" s="77">
        <f t="shared" si="0"/>
        <v>85304.79775700302</v>
      </c>
    </row>
    <row r="12" spans="1:28" x14ac:dyDescent="0.25">
      <c r="A12" s="5"/>
      <c r="B12" s="4" t="s">
        <v>1</v>
      </c>
      <c r="C12" s="93"/>
      <c r="D12" s="96">
        <f t="shared" ref="D12" si="1">D11/C11-1</f>
        <v>4.860826011987851E-2</v>
      </c>
      <c r="E12" s="96">
        <f t="shared" ref="E12" si="2">E11/D11-1</f>
        <v>0.2613734241641219</v>
      </c>
      <c r="F12" s="96">
        <f t="shared" ref="F12" si="3">F11/E11-1</f>
        <v>0.21705257930349497</v>
      </c>
      <c r="G12" s="92">
        <f t="shared" ref="G12" si="4">G11/F11-1</f>
        <v>0.10198592231771708</v>
      </c>
      <c r="H12" s="92">
        <f t="shared" ref="H12:J12" si="5">H11/G11-1</f>
        <v>2.9360353640606407E-2</v>
      </c>
      <c r="I12" s="92">
        <f t="shared" si="5"/>
        <v>8.3817329805347063E-2</v>
      </c>
      <c r="J12" s="92">
        <f t="shared" si="5"/>
        <v>8.4069416892378568E-2</v>
      </c>
      <c r="K12" s="92">
        <v>0.1</v>
      </c>
      <c r="L12" s="92">
        <v>0.1</v>
      </c>
      <c r="M12" s="92">
        <v>0.09</v>
      </c>
      <c r="N12" s="92">
        <v>0.08</v>
      </c>
      <c r="O12" s="92">
        <v>7.0000000000000007E-2</v>
      </c>
      <c r="P12" s="92">
        <v>0.05</v>
      </c>
      <c r="Q12" s="92">
        <v>0.02</v>
      </c>
    </row>
    <row r="13" spans="1:28" ht="15.95" customHeight="1" x14ac:dyDescent="0.25">
      <c r="A13" s="5"/>
      <c r="B13" s="4" t="s">
        <v>15</v>
      </c>
      <c r="C13" s="95">
        <v>0.159</v>
      </c>
      <c r="D13" s="95">
        <v>0.16669999999999999</v>
      </c>
      <c r="E13" s="95">
        <v>0.246</v>
      </c>
      <c r="F13" s="95">
        <v>0.2631</v>
      </c>
      <c r="G13" s="91">
        <v>0.252</v>
      </c>
      <c r="H13" s="91">
        <v>0.25130000000000002</v>
      </c>
      <c r="I13" s="91">
        <v>0.25419999999999998</v>
      </c>
      <c r="J13" s="91">
        <v>0.25230000000000002</v>
      </c>
      <c r="K13" s="91">
        <v>0.255</v>
      </c>
      <c r="L13" s="91">
        <v>0.26</v>
      </c>
      <c r="M13" s="91">
        <v>0.26500000000000001</v>
      </c>
      <c r="N13" s="91">
        <v>0.27</v>
      </c>
      <c r="O13" s="91">
        <v>0.27</v>
      </c>
      <c r="P13" s="91">
        <v>0.28000000000000003</v>
      </c>
      <c r="Q13" s="91">
        <v>0.28000000000000003</v>
      </c>
    </row>
    <row r="14" spans="1:28" ht="17.100000000000001" customHeight="1" x14ac:dyDescent="0.25">
      <c r="A14" s="5"/>
      <c r="B14" s="4" t="s">
        <v>16</v>
      </c>
      <c r="C14" s="88">
        <f>C11*C13</f>
        <v>3872.922</v>
      </c>
      <c r="D14" s="88">
        <f t="shared" ref="D14:J14" si="6">D11*D13</f>
        <v>4257.8513999999996</v>
      </c>
      <c r="E14" s="88">
        <f t="shared" si="6"/>
        <v>7925.6279999999997</v>
      </c>
      <c r="F14" s="88">
        <f t="shared" si="6"/>
        <v>10316.4141</v>
      </c>
      <c r="G14" s="77">
        <f t="shared" si="6"/>
        <v>10888.91244</v>
      </c>
      <c r="H14" s="77">
        <f t="shared" si="6"/>
        <v>11177.479719000001</v>
      </c>
      <c r="I14" s="77">
        <f t="shared" si="6"/>
        <v>12254.145681999998</v>
      </c>
      <c r="J14" s="77">
        <f t="shared" si="6"/>
        <v>13185.051666000001</v>
      </c>
      <c r="K14" s="77">
        <f t="shared" ref="K14:Q14" si="7">K11*K13</f>
        <v>14658.767310000001</v>
      </c>
      <c r="L14" s="77">
        <f t="shared" si="7"/>
        <v>16440.813532</v>
      </c>
      <c r="M14" s="77">
        <f t="shared" si="7"/>
        <v>18265.111495070003</v>
      </c>
      <c r="N14" s="77">
        <f t="shared" si="7"/>
        <v>20098.515139480802</v>
      </c>
      <c r="O14" s="77">
        <f t="shared" si="7"/>
        <v>21505.41119924446</v>
      </c>
      <c r="P14" s="77">
        <f t="shared" si="7"/>
        <v>23417.003305843969</v>
      </c>
      <c r="Q14" s="77">
        <f t="shared" si="7"/>
        <v>23885.343371960847</v>
      </c>
    </row>
    <row r="15" spans="1:28" x14ac:dyDescent="0.25">
      <c r="A15" s="108">
        <v>0.15</v>
      </c>
      <c r="B15" s="4" t="s">
        <v>42</v>
      </c>
      <c r="C15" s="88">
        <v>2937.5747999999999</v>
      </c>
      <c r="D15" s="88">
        <v>3695.9274</v>
      </c>
      <c r="E15" s="88">
        <v>6375.9421999999995</v>
      </c>
      <c r="F15" s="88">
        <v>7724.567</v>
      </c>
      <c r="G15" s="77">
        <v>9056.8097120000002</v>
      </c>
      <c r="H15" s="77">
        <v>9447.261011999999</v>
      </c>
      <c r="I15" s="77">
        <v>10456.035399</v>
      </c>
      <c r="J15" s="77">
        <v>11753.143558</v>
      </c>
      <c r="K15" s="77">
        <f t="shared" ref="K15:Q15" si="8">K14*(1-$A$15)</f>
        <v>12459.952213500001</v>
      </c>
      <c r="L15" s="77">
        <f t="shared" si="8"/>
        <v>13974.691502199999</v>
      </c>
      <c r="M15" s="77">
        <f t="shared" si="8"/>
        <v>15525.344770809503</v>
      </c>
      <c r="N15" s="77">
        <f t="shared" si="8"/>
        <v>17083.737868558681</v>
      </c>
      <c r="O15" s="77">
        <f t="shared" si="8"/>
        <v>18279.599519357791</v>
      </c>
      <c r="P15" s="77">
        <f t="shared" si="8"/>
        <v>19904.452809967373</v>
      </c>
      <c r="Q15" s="77">
        <f t="shared" si="8"/>
        <v>20302.541866166721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0.75849056603773579</v>
      </c>
      <c r="D16" s="15">
        <f t="shared" si="9"/>
        <v>0.86802639472105592</v>
      </c>
      <c r="E16" s="15">
        <f t="shared" si="9"/>
        <v>0.80447154471544713</v>
      </c>
      <c r="F16" s="15">
        <f t="shared" si="9"/>
        <v>0.7487647282402129</v>
      </c>
      <c r="G16" s="15">
        <f t="shared" si="9"/>
        <v>0.83174603174603179</v>
      </c>
      <c r="H16" s="15">
        <f t="shared" si="9"/>
        <v>0.84520493434142441</v>
      </c>
      <c r="I16" s="15">
        <f t="shared" si="9"/>
        <v>0.85326514555468147</v>
      </c>
      <c r="J16" s="15">
        <f t="shared" si="9"/>
        <v>0.89139912802219567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22.813122700251888</v>
      </c>
      <c r="H17" s="77">
        <f t="shared" ref="H17:P17" si="10">H15/H18</f>
        <v>23.820447681938862</v>
      </c>
      <c r="I17" s="77">
        <f t="shared" si="10"/>
        <v>26.390375012042021</v>
      </c>
      <c r="J17" s="77">
        <f t="shared" si="10"/>
        <v>29.693888224794279</v>
      </c>
      <c r="K17" s="77">
        <f t="shared" si="10"/>
        <v>31.511125620936973</v>
      </c>
      <c r="L17" s="77">
        <f t="shared" si="10"/>
        <v>35.377267179288985</v>
      </c>
      <c r="M17" s="77">
        <f t="shared" si="10"/>
        <v>39.342125297365165</v>
      </c>
      <c r="N17" s="77">
        <f t="shared" si="10"/>
        <v>43.334518430550098</v>
      </c>
      <c r="O17" s="77">
        <f t="shared" si="10"/>
        <v>46.414349069758373</v>
      </c>
      <c r="P17" s="77">
        <f t="shared" si="10"/>
        <v>50.590659646716944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C50</f>
        <v>397</v>
      </c>
      <c r="H18" s="77">
        <f>G18*0.999</f>
        <v>396.60300000000001</v>
      </c>
      <c r="I18" s="77">
        <f t="shared" ref="I18:P18" si="11">H18*0.999</f>
        <v>396.20639699999998</v>
      </c>
      <c r="J18" s="77">
        <f>I18*0.999</f>
        <v>395.81019060299997</v>
      </c>
      <c r="K18" s="77">
        <f t="shared" si="11"/>
        <v>395.41438041239695</v>
      </c>
      <c r="L18" s="77">
        <f t="shared" si="11"/>
        <v>395.01896603198458</v>
      </c>
      <c r="M18" s="77">
        <f t="shared" si="11"/>
        <v>394.62394706595256</v>
      </c>
      <c r="N18" s="77">
        <f t="shared" si="11"/>
        <v>394.22932311888661</v>
      </c>
      <c r="O18" s="77">
        <f t="shared" si="11"/>
        <v>393.8350937957677</v>
      </c>
      <c r="P18" s="77">
        <f t="shared" si="11"/>
        <v>393.44125870197195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8358.8460655283816</v>
      </c>
      <c r="H19" s="55">
        <f>H15/(1+$C$55)^2</f>
        <v>8047.2609229051204</v>
      </c>
      <c r="I19" s="55">
        <f>I15/(1+$C$55)^3</f>
        <v>8220.1605117443305</v>
      </c>
      <c r="J19" s="55">
        <f>J15/(1+$C$55)^4</f>
        <v>8527.8269367331068</v>
      </c>
      <c r="K19" s="55">
        <f>K15/(1+$C$55)^5</f>
        <v>8343.9520262221504</v>
      </c>
      <c r="L19" s="55">
        <f>L15/(1+$C$55)^6</f>
        <v>8637.1156636518735</v>
      </c>
      <c r="M19" s="55">
        <f>M15/(1+$C$55)^7</f>
        <v>8856.0252012560577</v>
      </c>
      <c r="N19" s="55">
        <f>N15/(1+$C$55)^8</f>
        <v>8993.9728820341697</v>
      </c>
      <c r="O19" s="55">
        <f>O15/(1+$C$55)^9</f>
        <v>8881.9113832732473</v>
      </c>
      <c r="P19" s="55">
        <f>P15/(1+$C$55)^10</f>
        <v>8926.0864027152566</v>
      </c>
      <c r="Q19" s="56">
        <f>(Q15/(C55-Q12))/(1+C55)^10</f>
        <v>143379.65560267025</v>
      </c>
    </row>
    <row r="20" spans="1:18" x14ac:dyDescent="0.25">
      <c r="A20" s="2"/>
      <c r="C20" s="80"/>
      <c r="D20" s="89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2.5000000000000001E-2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2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5.850000000000001E-2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2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2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1.3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2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8.3500000000000019E-2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8.3500000000000019E-2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8.3500000000000019E-2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0">
        <v>44807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215789.34999999998</v>
      </c>
      <c r="D49" s="49">
        <f>SUM(G19:Q19)</f>
        <v>229172.81359873392</v>
      </c>
      <c r="E49" s="48" t="s">
        <v>47</v>
      </c>
    </row>
    <row r="50" spans="1:17" x14ac:dyDescent="0.25">
      <c r="A50" s="47"/>
      <c r="B50" s="48" t="s">
        <v>11</v>
      </c>
      <c r="C50" s="75">
        <v>397</v>
      </c>
      <c r="D50" s="75">
        <f>C50</f>
        <v>397</v>
      </c>
      <c r="E50" s="48"/>
    </row>
    <row r="51" spans="1:17" x14ac:dyDescent="0.25">
      <c r="A51" s="47"/>
      <c r="B51" s="48" t="s">
        <v>13</v>
      </c>
      <c r="C51" s="94">
        <v>543.54999999999995</v>
      </c>
      <c r="D51" s="58">
        <f>D49/(D50)</f>
        <v>577.26149521091668</v>
      </c>
      <c r="E51" s="48" t="s">
        <v>47</v>
      </c>
    </row>
    <row r="52" spans="1:17" x14ac:dyDescent="0.25">
      <c r="A52" s="47"/>
      <c r="B52" s="48" t="s">
        <v>2</v>
      </c>
      <c r="C52" s="48"/>
      <c r="D52" s="59">
        <f>IF(C51/D51-1&gt;0,0,C51/D51-1)*-1</f>
        <v>5.8399001995792954E-2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8.3500000000000019E-2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151456418.91783866</v>
      </c>
      <c r="E57" s="48"/>
      <c r="F57" s="1" t="s">
        <v>26</v>
      </c>
      <c r="H57" s="1">
        <f>G15/(1+$B$57)</f>
        <v>8174.0159855595666</v>
      </c>
      <c r="I57" s="1">
        <f>H15/(1+$B$57)^2</f>
        <v>7695.3148516206365</v>
      </c>
      <c r="J57" s="1">
        <f>I15/(1+$B$57)^3</f>
        <v>7686.8386246147929</v>
      </c>
      <c r="K57" s="1">
        <f>J15/(1+$B$57)^4</f>
        <v>7798.2113114985032</v>
      </c>
      <c r="L57" s="1">
        <f>K15/(1+$B$57)^5</f>
        <v>7461.3527871353599</v>
      </c>
      <c r="M57" s="1">
        <f>L15/(1+$B$57)^6</f>
        <v>7552.7249137138542</v>
      </c>
      <c r="N57" s="1">
        <f>M15/(1+$B$57)^7</f>
        <v>7572.912355339653</v>
      </c>
      <c r="O57" s="1">
        <f>N15/(1+$B$57)^8</f>
        <v>7520.8134419216731</v>
      </c>
      <c r="P57" s="1">
        <f>O15/(1+$B$57)^9</f>
        <v>7262.8794069099195</v>
      </c>
      <c r="Q57" s="1">
        <f>(Q15/(B57-Q12))/(1+B57)^10</f>
        <v>82731.35523952471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25</v>
      </c>
      <c r="D59" s="23"/>
      <c r="E59" s="24"/>
    </row>
    <row r="60" spans="1:17" x14ac:dyDescent="0.25">
      <c r="A60" s="25" t="s">
        <v>24</v>
      </c>
      <c r="B60" s="26"/>
      <c r="C60" s="72" t="s">
        <v>45</v>
      </c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1264.7664911679235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0.1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34.928787886364368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48</v>
      </c>
      <c r="B68" s="26"/>
      <c r="C68" s="26"/>
      <c r="D68" s="26"/>
      <c r="E68" s="65">
        <f>(E66*0.25)*-1</f>
        <v>-8.7321969715910921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1290.9630820826967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1.3750585633018062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67" t="s">
        <v>21</v>
      </c>
      <c r="B74" s="68"/>
      <c r="C74" s="68"/>
      <c r="D74" s="68"/>
      <c r="E74" s="112">
        <f>(E70/C51)^(1/10)-1</f>
        <v>9.0353776897030391E-2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2022-09-03T09:32:42Z</dcterms:modified>
</cp:coreProperties>
</file>