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OneDrive\Desktop\WirLiebenAktien\Podcast Vorbereitung\Splunk Investmentserie\"/>
    </mc:Choice>
  </mc:AlternateContent>
  <bookViews>
    <workbookView xWindow="-120" yWindow="-120" windowWidth="29040" windowHeight="15720" activeTab="2"/>
  </bookViews>
  <sheets>
    <sheet name="Splunk" sheetId="1" r:id="rId1"/>
    <sheet name="Ausblick" sheetId="8" r:id="rId2"/>
    <sheet name="Bewertung" sheetId="7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J35" i="1" l="1"/>
  <c r="J26" i="1"/>
  <c r="J18" i="1"/>
  <c r="J14" i="1"/>
  <c r="J11" i="1"/>
  <c r="J10" i="1"/>
  <c r="I35" i="1"/>
  <c r="I26" i="1"/>
  <c r="I18" i="1"/>
  <c r="I17" i="1"/>
  <c r="H17" i="1"/>
  <c r="I13" i="1"/>
  <c r="I14" i="1"/>
  <c r="I11" i="1"/>
  <c r="I10" i="1"/>
  <c r="G18" i="1"/>
  <c r="G17" i="1"/>
  <c r="G12" i="1"/>
  <c r="E12" i="1"/>
  <c r="F12" i="1"/>
  <c r="H12" i="1"/>
  <c r="D12" i="1"/>
  <c r="H35" i="1" l="1"/>
  <c r="H28" i="1"/>
  <c r="H27" i="1"/>
  <c r="H26" i="1"/>
  <c r="H11" i="1"/>
  <c r="H18" i="1"/>
  <c r="H13" i="1"/>
  <c r="J11" i="7" l="1"/>
  <c r="K11" i="7" s="1"/>
  <c r="G12" i="7"/>
  <c r="H12" i="7"/>
  <c r="I12" i="7"/>
  <c r="J13" i="7"/>
  <c r="G14" i="7"/>
  <c r="H14" i="7"/>
  <c r="I14" i="7"/>
  <c r="I16" i="7" s="1"/>
  <c r="C16" i="7"/>
  <c r="D16" i="7"/>
  <c r="E16" i="7"/>
  <c r="F16" i="7"/>
  <c r="G16" i="7"/>
  <c r="H16" i="7"/>
  <c r="J16" i="7"/>
  <c r="G18" i="7"/>
  <c r="G17" i="7" s="1"/>
  <c r="H18" i="7"/>
  <c r="I18" i="7" s="1"/>
  <c r="I25" i="7"/>
  <c r="I31" i="7"/>
  <c r="I33" i="7"/>
  <c r="D46" i="7" s="1"/>
  <c r="C55" i="7" s="1"/>
  <c r="C49" i="7"/>
  <c r="D50" i="7"/>
  <c r="H57" i="7"/>
  <c r="I57" i="7"/>
  <c r="J57" i="7"/>
  <c r="K57" i="7"/>
  <c r="L57" i="7"/>
  <c r="K19" i="7" l="1"/>
  <c r="G19" i="7"/>
  <c r="H19" i="7"/>
  <c r="I19" i="7"/>
  <c r="J19" i="7"/>
  <c r="J18" i="7"/>
  <c r="I17" i="7"/>
  <c r="L11" i="7"/>
  <c r="K14" i="7"/>
  <c r="H17" i="7"/>
  <c r="M11" i="7" l="1"/>
  <c r="L14" i="7"/>
  <c r="L15" i="7" s="1"/>
  <c r="K18" i="7"/>
  <c r="J17" i="7"/>
  <c r="L19" i="7" l="1"/>
  <c r="M57" i="7"/>
  <c r="N11" i="7"/>
  <c r="M14" i="7"/>
  <c r="M15" i="7" s="1"/>
  <c r="L18" i="7"/>
  <c r="M18" i="7" s="1"/>
  <c r="N18" i="7" s="1"/>
  <c r="O18" i="7" s="1"/>
  <c r="P18" i="7" s="1"/>
  <c r="K17" i="7"/>
  <c r="M19" i="7" l="1"/>
  <c r="M17" i="7"/>
  <c r="N57" i="7"/>
  <c r="L17" i="7"/>
  <c r="O11" i="7"/>
  <c r="N14" i="7"/>
  <c r="N15" i="7" s="1"/>
  <c r="O14" i="7" l="1"/>
  <c r="O15" i="7" s="1"/>
  <c r="P11" i="7"/>
  <c r="N19" i="7"/>
  <c r="N17" i="7"/>
  <c r="O57" i="7"/>
  <c r="P57" i="7" l="1"/>
  <c r="O19" i="7"/>
  <c r="O17" i="7"/>
  <c r="Q11" i="7"/>
  <c r="Q14" i="7" s="1"/>
  <c r="Q15" i="7" s="1"/>
  <c r="P14" i="7"/>
  <c r="P15" i="7" s="1"/>
  <c r="D42" i="7" s="1"/>
  <c r="P17" i="7" l="1"/>
  <c r="P19" i="7"/>
  <c r="D41" i="7"/>
  <c r="D43" i="7"/>
  <c r="D40" i="7"/>
  <c r="Q19" i="7"/>
  <c r="D49" i="7" s="1"/>
  <c r="D51" i="7" s="1"/>
  <c r="Q57" i="7"/>
  <c r="D57" i="7" s="1"/>
  <c r="D44" i="7"/>
  <c r="D52" i="7" l="1"/>
  <c r="D53" i="7"/>
  <c r="E62" i="7"/>
  <c r="E66" i="7"/>
  <c r="E68" i="7" s="1"/>
  <c r="E70" i="7" l="1"/>
  <c r="E72" i="7" l="1"/>
  <c r="E74" i="7"/>
  <c r="D35" i="1" l="1"/>
  <c r="E35" i="1"/>
  <c r="F35" i="1"/>
  <c r="G35" i="1"/>
  <c r="C35" i="1"/>
  <c r="E26" i="1"/>
  <c r="F26" i="1"/>
  <c r="D26" i="1"/>
  <c r="F22" i="1"/>
  <c r="D22" i="1"/>
  <c r="D14" i="1"/>
  <c r="D18" i="1" s="1"/>
  <c r="E14" i="1"/>
  <c r="E18" i="1" s="1"/>
  <c r="F14" i="1"/>
  <c r="F18" i="1" s="1"/>
  <c r="G14" i="1"/>
  <c r="G28" i="1" l="1"/>
  <c r="G20" i="1"/>
  <c r="G27" i="1"/>
  <c r="G25" i="1"/>
  <c r="G13" i="1"/>
  <c r="G11" i="1"/>
</calcChain>
</file>

<file path=xl/comments1.xml><?xml version="1.0" encoding="utf-8"?>
<comments xmlns="http://schemas.openxmlformats.org/spreadsheetml/2006/main">
  <authors>
    <author>chris_grca1ny</author>
    <author>tc={A579C6D0-C1BF-4A67-A13A-E10338AAB3EE}</author>
    <author>tc={7E8DFF1F-9046-4465-A9DC-C2EF7DD90455}</author>
    <author>tc={BD6AE28E-EAC5-4397-BC0A-8B9CEC265E42}</author>
    <author>tc={0E5A4A30-538B-43F2-8007-3B30DA697915}</author>
  </authors>
  <commentList>
    <comment ref="I11" authorId="0" shapeId="0">
      <text>
        <r>
          <rPr>
            <b/>
            <sz val="9"/>
            <color indexed="81"/>
            <rFont val="Segoe UI"/>
            <family val="2"/>
          </rPr>
          <t>chris_grca1ny:</t>
        </r>
        <r>
          <rPr>
            <sz val="9"/>
            <color indexed="81"/>
            <rFont val="Segoe UI"/>
            <family val="2"/>
          </rPr>
          <t xml:space="preserve">
Zuvor 86 %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</rPr>
          <t>chris_grca1ny:</t>
        </r>
        <r>
          <rPr>
            <sz val="9"/>
            <color indexed="81"/>
            <rFont val="Segoe UI"/>
            <family val="2"/>
          </rPr>
          <t xml:space="preserve">
Zuvor ca. 40 %
</t>
        </r>
      </text>
    </comment>
    <comment ref="F18" authorId="1" shape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Q4 ist grundsätzlich immer stärker als die anderen Quartale, dass die Zahl hier im Q1 23 zurückgeht, ist also nicht verwunderlich.</t>
        </r>
      </text>
    </comment>
    <comment ref="A23" authorId="2" shape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CAPEX (Gebäude und normale Aussattung; z.B. Büromöbel, Bauten, Maschinen...)</t>
        </r>
      </text>
    </comment>
    <comment ref="A24" authorId="3" shape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Softwarekosten, die längerfristig dem Betrieb dienen.</t>
        </r>
      </text>
    </comment>
    <comment ref="A33" authorId="4" shape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Aktienrückkäufen</t>
        </r>
      </text>
    </comment>
  </commentList>
</comments>
</file>

<file path=xl/sharedStrings.xml><?xml version="1.0" encoding="utf-8"?>
<sst xmlns="http://schemas.openxmlformats.org/spreadsheetml/2006/main" count="115" uniqueCount="101">
  <si>
    <t>Q1</t>
  </si>
  <si>
    <t>Q2</t>
  </si>
  <si>
    <t>Q3</t>
  </si>
  <si>
    <t>Q4</t>
  </si>
  <si>
    <t>Sales &amp; Marketing</t>
  </si>
  <si>
    <t>Wachstum YoY in %</t>
  </si>
  <si>
    <t>Operativer Cashflow</t>
  </si>
  <si>
    <t>Free Cashflow</t>
  </si>
  <si>
    <t>Wachstum YoY %</t>
  </si>
  <si>
    <t>Wachstum Yoy %</t>
  </si>
  <si>
    <t xml:space="preserve">Operativer Gewinn </t>
  </si>
  <si>
    <t>Kontrollliste für das Splunkinvestment</t>
  </si>
  <si>
    <t>Zielwert</t>
  </si>
  <si>
    <t>&gt;60 %</t>
  </si>
  <si>
    <t>&gt;0,5</t>
  </si>
  <si>
    <t>tendenz zu 0</t>
  </si>
  <si>
    <t>profitabel</t>
  </si>
  <si>
    <t>&gt;70 %</t>
  </si>
  <si>
    <t>Cloud-Umsatz</t>
  </si>
  <si>
    <t>Gesamtumsatz</t>
  </si>
  <si>
    <t>Free Cashflow Marge</t>
  </si>
  <si>
    <t>Wachstum absolut YoY</t>
  </si>
  <si>
    <t>Magic Number "Cloud"</t>
  </si>
  <si>
    <t>&gt;0,4</t>
  </si>
  <si>
    <t xml:space="preserve">S&amp;M im Verhältnis zum Cloudwachstum </t>
  </si>
  <si>
    <t>FY</t>
  </si>
  <si>
    <t>Net Retention Rate (Cloud)</t>
  </si>
  <si>
    <t>&gt;125 %</t>
  </si>
  <si>
    <t>&gt;20 %</t>
  </si>
  <si>
    <t xml:space="preserve">Die Tabellenübersicht zur Podcastserie! </t>
  </si>
  <si>
    <t>Share Based Comp.</t>
  </si>
  <si>
    <t>Purchases of Property and equipment</t>
  </si>
  <si>
    <t>Capitalized Software development</t>
  </si>
  <si>
    <t xml:space="preserve">Repurchases of common stock </t>
  </si>
  <si>
    <t>Bereinigtes EBIT (um Aktienvergütungen)</t>
  </si>
  <si>
    <t>Renditeerwartung bis 2031 pro Jahr</t>
  </si>
  <si>
    <t>Steigerung Gesamt bis 2031 in Prozent</t>
  </si>
  <si>
    <t>Gesamtwert 2031</t>
  </si>
  <si>
    <t xml:space="preserve">Ausgeschüttete Gewinne </t>
  </si>
  <si>
    <t xml:space="preserve">Ausschüttungsquote </t>
  </si>
  <si>
    <t>Überbewertung</t>
  </si>
  <si>
    <t>Unterbewertung</t>
  </si>
  <si>
    <t>USD</t>
  </si>
  <si>
    <t xml:space="preserve">Kurs pro Aktie </t>
  </si>
  <si>
    <t>Anzahl Aktien gesamt, Mio.</t>
  </si>
  <si>
    <t>Marktkapitalisierung, Mio.</t>
  </si>
  <si>
    <t>Bewertung</t>
  </si>
  <si>
    <t>Fairer Wert</t>
  </si>
  <si>
    <t>Vereinfachter WACC:</t>
  </si>
  <si>
    <t>EK Quote:</t>
  </si>
  <si>
    <t>Abgezinster Gewinn:</t>
  </si>
  <si>
    <t>Verhältnis EBIT zu Konzerngewinn:</t>
  </si>
  <si>
    <t>EBIT</t>
  </si>
  <si>
    <t>EBIT Marge, %</t>
  </si>
  <si>
    <t>Umsatz-Wachstum, %</t>
  </si>
  <si>
    <t>Umsatz</t>
  </si>
  <si>
    <t>Schätzungen »</t>
  </si>
  <si>
    <t>Discounted Net-Profit Modell</t>
  </si>
  <si>
    <t>2033ff.</t>
  </si>
  <si>
    <t>Quellensteuer USA (25 %)</t>
  </si>
  <si>
    <t>Gewinn je Aktie multipliziert mit fiktivem KGV</t>
  </si>
  <si>
    <t xml:space="preserve">Umsatzmultiple </t>
  </si>
  <si>
    <t>KGV Multiple in 2031</t>
  </si>
  <si>
    <t>Abgezinster Gewinn in Mrd. USD:</t>
  </si>
  <si>
    <t>Nullzinsmarkterwartung:</t>
  </si>
  <si>
    <t>Eigenkapitalzins</t>
  </si>
  <si>
    <t>EK-Zins</t>
  </si>
  <si>
    <t>Keine Rundung</t>
  </si>
  <si>
    <t>rE</t>
  </si>
  <si>
    <t xml:space="preserve">Eigenkapitalkosten: </t>
  </si>
  <si>
    <t>ß</t>
  </si>
  <si>
    <t>Beta Faktor:</t>
  </si>
  <si>
    <t>rM</t>
  </si>
  <si>
    <t>Marktrendite:</t>
  </si>
  <si>
    <t>Risikoprämie:</t>
  </si>
  <si>
    <t>rF</t>
  </si>
  <si>
    <t>Risikoloser Basiszins:</t>
  </si>
  <si>
    <t>Eigenkapitalverzinsung</t>
  </si>
  <si>
    <t>Anzahl der Aktien in Mio. diluted (geschätzt)</t>
  </si>
  <si>
    <t>Gewinn je Aktie</t>
  </si>
  <si>
    <t>Gewinn (abzgl. Steuern, Zinsen)</t>
  </si>
  <si>
    <t xml:space="preserve">Alle Angaben in Mio. </t>
  </si>
  <si>
    <t xml:space="preserve"> Annahmen für Splunk</t>
  </si>
  <si>
    <t>-</t>
  </si>
  <si>
    <t>Bruttomarge (Cloud)</t>
  </si>
  <si>
    <t>Q3 2023</t>
  </si>
  <si>
    <t>Revenue Mio</t>
  </si>
  <si>
    <t>non gaap ebit</t>
  </si>
  <si>
    <t>6-8%</t>
  </si>
  <si>
    <t>Volles Jahr</t>
  </si>
  <si>
    <t>3350-3400</t>
  </si>
  <si>
    <t>835-855</t>
  </si>
  <si>
    <t>Cloud ARR</t>
  </si>
  <si>
    <t>Total ARR</t>
  </si>
  <si>
    <t>Prognose lt Q2 Statement</t>
  </si>
  <si>
    <t>Wachstum YoY</t>
  </si>
  <si>
    <t>Wachstum QoQ in %</t>
  </si>
  <si>
    <t>Waschsum absolut QoQ</t>
  </si>
  <si>
    <t>Datadog</t>
  </si>
  <si>
    <t>KUV</t>
  </si>
  <si>
    <t>Elastic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</si>
</sst>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#,##0.0"/>
    <numFmt numFmtId="167" formatCode="dd\.mm\.yy;@"/>
    <numFmt numFmtId="168" formatCode="[Green]#,##0\ _$;\-#,##0\ _$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0" fillId="3" borderId="5" xfId="4" applyFont="1" applyFill="1" applyBorder="1"/>
    <xf numFmtId="9" fontId="0" fillId="3" borderId="0" xfId="4" applyFont="1" applyFill="1" applyBorder="1"/>
    <xf numFmtId="1" fontId="3" fillId="3" borderId="0" xfId="4" applyNumberFormat="1" applyFont="1" applyFill="1"/>
    <xf numFmtId="10" fontId="6" fillId="3" borderId="0" xfId="4" applyNumberFormat="1" applyFont="1" applyFill="1"/>
    <xf numFmtId="1" fontId="3" fillId="5" borderId="0" xfId="4" applyNumberFormat="1" applyFont="1" applyFill="1"/>
    <xf numFmtId="10" fontId="6" fillId="5" borderId="0" xfId="4" applyNumberFormat="1" applyFont="1" applyFill="1"/>
    <xf numFmtId="9" fontId="6" fillId="5" borderId="0" xfId="4" applyFont="1" applyFill="1"/>
    <xf numFmtId="9" fontId="0" fillId="6" borderId="0" xfId="4" applyFont="1" applyFill="1"/>
    <xf numFmtId="165" fontId="6" fillId="3" borderId="0" xfId="4" applyNumberFormat="1" applyFont="1" applyFill="1" applyBorder="1"/>
    <xf numFmtId="165" fontId="3" fillId="3" borderId="0" xfId="4" applyNumberFormat="1" applyFont="1" applyFill="1" applyBorder="1"/>
    <xf numFmtId="9" fontId="7" fillId="3" borderId="0" xfId="4" applyFont="1" applyFill="1"/>
    <xf numFmtId="9" fontId="0" fillId="3" borderId="10" xfId="4" applyFont="1" applyFill="1" applyBorder="1"/>
    <xf numFmtId="9" fontId="3" fillId="7" borderId="0" xfId="4" applyFont="1" applyFill="1"/>
    <xf numFmtId="9" fontId="0" fillId="8" borderId="0" xfId="4" applyFont="1" applyFill="1"/>
    <xf numFmtId="9" fontId="0" fillId="9" borderId="0" xfId="4" applyFont="1" applyFill="1"/>
    <xf numFmtId="165" fontId="3" fillId="8" borderId="0" xfId="4" applyNumberFormat="1" applyFont="1" applyFill="1"/>
    <xf numFmtId="165" fontId="0" fillId="4" borderId="3" xfId="4" applyNumberFormat="1" applyFont="1" applyFill="1" applyBorder="1"/>
    <xf numFmtId="4" fontId="3" fillId="5" borderId="0" xfId="4" applyNumberFormat="1" applyFont="1" applyFill="1"/>
    <xf numFmtId="9" fontId="0" fillId="3" borderId="0" xfId="4" applyFont="1" applyFill="1"/>
    <xf numFmtId="10" fontId="0" fillId="3" borderId="0" xfId="4" applyNumberFormat="1" applyFont="1" applyFill="1" applyBorder="1" applyAlignment="1">
      <alignment horizontal="right"/>
    </xf>
    <xf numFmtId="9" fontId="7" fillId="9" borderId="0" xfId="4" applyFont="1" applyFill="1"/>
    <xf numFmtId="0" fontId="3" fillId="3" borderId="0" xfId="5" applyFill="1"/>
    <xf numFmtId="0" fontId="3" fillId="4" borderId="3" xfId="5" applyFill="1" applyBorder="1"/>
    <xf numFmtId="0" fontId="3" fillId="4" borderId="4" xfId="5" applyFill="1" applyBorder="1"/>
    <xf numFmtId="0" fontId="3" fillId="3" borderId="5" xfId="5" applyFill="1" applyBorder="1"/>
    <xf numFmtId="0" fontId="3" fillId="3" borderId="6" xfId="5" applyFill="1" applyBorder="1"/>
    <xf numFmtId="4" fontId="3" fillId="3" borderId="5" xfId="5" applyNumberFormat="1" applyFill="1" applyBorder="1"/>
    <xf numFmtId="4" fontId="4" fillId="3" borderId="5" xfId="5" quotePrefix="1" applyNumberFormat="1" applyFont="1" applyFill="1" applyBorder="1"/>
    <xf numFmtId="10" fontId="3" fillId="3" borderId="6" xfId="5" applyNumberFormat="1" applyFill="1" applyBorder="1"/>
    <xf numFmtId="3" fontId="5" fillId="3" borderId="5" xfId="5" quotePrefix="1" applyNumberFormat="1" applyFont="1" applyFill="1" applyBorder="1"/>
    <xf numFmtId="9" fontId="3" fillId="3" borderId="0" xfId="5" applyNumberFormat="1" applyFill="1" applyAlignment="1">
      <alignment horizontal="center"/>
    </xf>
    <xf numFmtId="0" fontId="3" fillId="3" borderId="0" xfId="5" applyFill="1" applyAlignment="1">
      <alignment horizontal="center"/>
    </xf>
    <xf numFmtId="0" fontId="3" fillId="3" borderId="7" xfId="5" applyFill="1" applyBorder="1"/>
    <xf numFmtId="0" fontId="3" fillId="3" borderId="8" xfId="5" applyFill="1" applyBorder="1"/>
    <xf numFmtId="0" fontId="3" fillId="3" borderId="8" xfId="5" applyFill="1" applyBorder="1" applyAlignment="1">
      <alignment horizontal="center"/>
    </xf>
    <xf numFmtId="0" fontId="3" fillId="3" borderId="9" xfId="5" applyFill="1" applyBorder="1"/>
    <xf numFmtId="0" fontId="6" fillId="3" borderId="0" xfId="5" applyFont="1" applyFill="1"/>
    <xf numFmtId="0" fontId="3" fillId="5" borderId="0" xfId="5" applyFill="1"/>
    <xf numFmtId="10" fontId="3" fillId="5" borderId="0" xfId="5" applyNumberFormat="1" applyFill="1"/>
    <xf numFmtId="0" fontId="6" fillId="5" borderId="0" xfId="5" applyFont="1" applyFill="1"/>
    <xf numFmtId="0" fontId="6" fillId="5" borderId="0" xfId="5" applyFont="1" applyFill="1" applyAlignment="1">
      <alignment vertical="center" wrapText="1"/>
    </xf>
    <xf numFmtId="4" fontId="3" fillId="5" borderId="0" xfId="5" applyNumberFormat="1" applyFill="1"/>
    <xf numFmtId="166" fontId="3" fillId="5" borderId="0" xfId="5" applyNumberFormat="1" applyFill="1"/>
    <xf numFmtId="4" fontId="7" fillId="5" borderId="0" xfId="5" applyNumberFormat="1" applyFont="1" applyFill="1"/>
    <xf numFmtId="4" fontId="6" fillId="7" borderId="0" xfId="5" applyNumberFormat="1" applyFont="1" applyFill="1"/>
    <xf numFmtId="0" fontId="8" fillId="7" borderId="0" xfId="5" applyFont="1" applyFill="1"/>
    <xf numFmtId="0" fontId="9" fillId="7" borderId="0" xfId="5" applyFont="1" applyFill="1"/>
    <xf numFmtId="0" fontId="6" fillId="7" borderId="0" xfId="5" applyFont="1" applyFill="1" applyAlignment="1">
      <alignment horizontal="right"/>
    </xf>
    <xf numFmtId="167" fontId="8" fillId="7" borderId="0" xfId="5" applyNumberFormat="1" applyFont="1" applyFill="1"/>
    <xf numFmtId="0" fontId="3" fillId="7" borderId="0" xfId="5" applyFill="1"/>
    <xf numFmtId="0" fontId="3" fillId="7" borderId="0" xfId="5" applyFill="1" applyAlignment="1">
      <alignment wrapText="1"/>
    </xf>
    <xf numFmtId="0" fontId="3" fillId="3" borderId="2" xfId="5" applyFill="1" applyBorder="1"/>
    <xf numFmtId="0" fontId="3" fillId="3" borderId="3" xfId="5" applyFill="1" applyBorder="1"/>
    <xf numFmtId="0" fontId="3" fillId="3" borderId="4" xfId="5" applyFill="1" applyBorder="1"/>
    <xf numFmtId="10" fontId="6" fillId="3" borderId="3" xfId="5" applyNumberFormat="1" applyFont="1" applyFill="1" applyBorder="1"/>
    <xf numFmtId="9" fontId="6" fillId="3" borderId="0" xfId="5" applyNumberFormat="1" applyFont="1" applyFill="1"/>
    <xf numFmtId="10" fontId="3" fillId="3" borderId="0" xfId="5" applyNumberFormat="1" applyFill="1"/>
    <xf numFmtId="9" fontId="3" fillId="3" borderId="0" xfId="5" applyNumberFormat="1" applyFill="1"/>
    <xf numFmtId="4" fontId="3" fillId="3" borderId="0" xfId="5" applyNumberFormat="1" applyFill="1"/>
    <xf numFmtId="4" fontId="3" fillId="3" borderId="6" xfId="5" applyNumberFormat="1" applyFill="1" applyBorder="1"/>
    <xf numFmtId="10" fontId="6" fillId="3" borderId="0" xfId="5" applyNumberFormat="1" applyFont="1" applyFill="1"/>
    <xf numFmtId="0" fontId="6" fillId="3" borderId="6" xfId="5" applyFont="1" applyFill="1" applyBorder="1"/>
    <xf numFmtId="10" fontId="3" fillId="3" borderId="0" xfId="5" applyNumberFormat="1" applyFill="1" applyAlignment="1">
      <alignment horizontal="right"/>
    </xf>
    <xf numFmtId="3" fontId="3" fillId="3" borderId="0" xfId="5" applyNumberFormat="1" applyFill="1"/>
    <xf numFmtId="0" fontId="3" fillId="3" borderId="0" xfId="5" applyFill="1" applyAlignment="1">
      <alignment horizontal="right"/>
    </xf>
    <xf numFmtId="2" fontId="3" fillId="3" borderId="0" xfId="5" applyNumberFormat="1" applyFill="1" applyAlignment="1">
      <alignment horizontal="right"/>
    </xf>
    <xf numFmtId="3" fontId="6" fillId="3" borderId="0" xfId="5" applyNumberFormat="1" applyFont="1" applyFill="1"/>
    <xf numFmtId="10" fontId="3" fillId="3" borderId="8" xfId="5" applyNumberFormat="1" applyFill="1" applyBorder="1" applyAlignment="1">
      <alignment horizontal="right"/>
    </xf>
    <xf numFmtId="4" fontId="3" fillId="3" borderId="8" xfId="5" applyNumberFormat="1" applyFill="1" applyBorder="1"/>
    <xf numFmtId="3" fontId="3" fillId="3" borderId="8" xfId="5" applyNumberFormat="1" applyFill="1" applyBorder="1"/>
    <xf numFmtId="4" fontId="6" fillId="3" borderId="9" xfId="5" applyNumberFormat="1" applyFont="1" applyFill="1" applyBorder="1"/>
    <xf numFmtId="0" fontId="9" fillId="3" borderId="0" xfId="5" applyFont="1" applyFill="1"/>
    <xf numFmtId="0" fontId="3" fillId="3" borderId="0" xfId="5" applyFill="1" applyAlignment="1">
      <alignment wrapText="1"/>
    </xf>
    <xf numFmtId="0" fontId="7" fillId="3" borderId="0" xfId="5" applyFont="1" applyFill="1"/>
    <xf numFmtId="0" fontId="3" fillId="3" borderId="0" xfId="5" quotePrefix="1" applyFill="1"/>
    <xf numFmtId="2" fontId="9" fillId="3" borderId="10" xfId="5" applyNumberFormat="1" applyFont="1" applyFill="1" applyBorder="1"/>
    <xf numFmtId="2" fontId="9" fillId="3" borderId="11" xfId="5" applyNumberFormat="1" applyFont="1" applyFill="1" applyBorder="1"/>
    <xf numFmtId="0" fontId="7" fillId="3" borderId="11" xfId="5" applyFont="1" applyFill="1" applyBorder="1"/>
    <xf numFmtId="0" fontId="3" fillId="3" borderId="12" xfId="5" applyFill="1" applyBorder="1"/>
    <xf numFmtId="4" fontId="3" fillId="8" borderId="0" xfId="5" applyNumberFormat="1" applyFill="1"/>
    <xf numFmtId="4" fontId="7" fillId="9" borderId="0" xfId="5" applyNumberFormat="1" applyFont="1" applyFill="1"/>
    <xf numFmtId="0" fontId="10" fillId="3" borderId="11" xfId="5" applyFont="1" applyFill="1" applyBorder="1"/>
    <xf numFmtId="0" fontId="3" fillId="3" borderId="12" xfId="5" applyFill="1" applyBorder="1" applyAlignment="1">
      <alignment wrapText="1"/>
    </xf>
    <xf numFmtId="3" fontId="3" fillId="8" borderId="0" xfId="5" applyNumberFormat="1" applyFill="1"/>
    <xf numFmtId="3" fontId="3" fillId="9" borderId="0" xfId="5" applyNumberFormat="1" applyFill="1"/>
    <xf numFmtId="0" fontId="3" fillId="10" borderId="0" xfId="5" applyFill="1"/>
    <xf numFmtId="0" fontId="6" fillId="10" borderId="0" xfId="5" applyFont="1" applyFill="1" applyAlignment="1">
      <alignment vertical="center" wrapText="1"/>
    </xf>
    <xf numFmtId="0" fontId="8" fillId="8" borderId="0" xfId="5" applyFont="1" applyFill="1" applyAlignment="1">
      <alignment horizontal="right" vertical="center"/>
    </xf>
    <xf numFmtId="0" fontId="6" fillId="8" borderId="0" xfId="5" applyFont="1" applyFill="1"/>
    <xf numFmtId="0" fontId="6" fillId="9" borderId="0" xfId="5" applyFont="1" applyFill="1"/>
    <xf numFmtId="0" fontId="3" fillId="11" borderId="0" xfId="5" applyFill="1"/>
    <xf numFmtId="0" fontId="11" fillId="11" borderId="0" xfId="5" applyFont="1" applyFill="1"/>
    <xf numFmtId="0" fontId="6" fillId="11" borderId="0" xfId="5" applyFont="1" applyFill="1"/>
    <xf numFmtId="0" fontId="12" fillId="3" borderId="0" xfId="5" applyFont="1" applyFill="1"/>
    <xf numFmtId="164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9" fontId="0" fillId="0" borderId="0" xfId="2" applyFont="1" applyAlignment="1">
      <alignment horizontal="left"/>
    </xf>
    <xf numFmtId="10" fontId="0" fillId="0" borderId="0" xfId="2" applyNumberFormat="1" applyFont="1" applyAlignment="1">
      <alignment horizontal="left"/>
    </xf>
    <xf numFmtId="10" fontId="0" fillId="2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168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164" fontId="0" fillId="9" borderId="0" xfId="1" applyNumberFormat="1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0" fontId="0" fillId="9" borderId="0" xfId="2" applyNumberFormat="1" applyFont="1" applyFill="1" applyAlignment="1">
      <alignment horizontal="center"/>
    </xf>
    <xf numFmtId="9" fontId="0" fillId="9" borderId="0" xfId="2" applyFont="1" applyFill="1" applyAlignment="1">
      <alignment horizontal="center"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64" fontId="0" fillId="12" borderId="0" xfId="1" applyNumberFormat="1" applyFont="1" applyFill="1" applyAlignment="1">
      <alignment horizontal="center"/>
    </xf>
    <xf numFmtId="0" fontId="0" fillId="12" borderId="0" xfId="0" applyFont="1" applyFill="1" applyBorder="1" applyAlignment="1">
      <alignment horizontal="center"/>
    </xf>
    <xf numFmtId="9" fontId="0" fillId="12" borderId="0" xfId="2" applyFont="1" applyFill="1" applyAlignment="1">
      <alignment horizontal="center"/>
    </xf>
    <xf numFmtId="9" fontId="1" fillId="12" borderId="0" xfId="2" applyFont="1" applyFill="1" applyBorder="1" applyAlignment="1">
      <alignment horizontal="center"/>
    </xf>
    <xf numFmtId="9" fontId="2" fillId="12" borderId="0" xfId="2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168" fontId="0" fillId="12" borderId="0" xfId="0" applyNumberFormat="1" applyFill="1" applyAlignment="1">
      <alignment horizontal="center"/>
    </xf>
  </cellXfs>
  <cellStyles count="6">
    <cellStyle name="Prozent" xfId="2" builtinId="5"/>
    <cellStyle name="Prozent 2" xfId="4"/>
    <cellStyle name="Standard" xfId="0" builtinId="0"/>
    <cellStyle name="Standard 2" xfId="3"/>
    <cellStyle name="Standard 2 2" xfId="5"/>
    <cellStyle name="Währung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148166</xdr:colOff>
      <xdr:row>22</xdr:row>
      <xdr:rowOff>84666</xdr:rowOff>
    </xdr:from>
    <xdr:ext cx="3582091" cy="1388950"/>
    <xdr:pic>
      <xdr:nvPicPr>
        <xdr:cNvPr id="2" name="Grafik 1">
          <a:extLst>
            <a:ext uri="{FF2B5EF4-FFF2-40B4-BE49-F238E27FC236}">
              <a16:creationId xmlns:a16="http://schemas.microsoft.com/office/drawing/2014/main" id="{3171DD9A-6398-489A-AADF-A334C2015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4416" y="4485216"/>
          <a:ext cx="3582091" cy="138895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an Lämmle" id="{31215415-35B0-4D8B-9A56-3EFB573BFD47}" userId="c2b4952b37a507c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7" dT="2022-06-02T06:47:57.36" personId="{31215415-35B0-4D8B-9A56-3EFB573BFD47}" id="{A579C6D0-C1BF-4A67-A13A-E10338AAB3EE}">
    <text>Q4 ist grundsätzlich immer stärker als die anderen Quartale, dass die Zahl hier im Q1 23 zurückgeht, ist also nicht verwunderlich.</text>
  </threadedComment>
  <threadedComment ref="A22" dT="2022-08-17T17:44:32.58" personId="{31215415-35B0-4D8B-9A56-3EFB573BFD47}" id="{7E8DFF1F-9046-4465-A9DC-C2EF7DD90455}">
    <text>CAPEX (Gebäude und normale Aussattung; z.B. Büromöbel, Bauten, Maschinen...)</text>
  </threadedComment>
  <threadedComment ref="A23" dT="2022-08-17T17:45:07.17" personId="{31215415-35B0-4D8B-9A56-3EFB573BFD47}" id="{BD6AE28E-EAC5-4397-BC0A-8B9CEC265E42}">
    <text>Softwarekosten, die längerfristig dem Betrieb dienen.</text>
  </threadedComment>
  <threadedComment ref="A32" dT="2022-08-17T17:51:31.13" personId="{31215415-35B0-4D8B-9A56-3EFB573BFD47}" id="{0E5A4A30-538B-43F2-8007-3B30DA697915}">
    <text>Aktienrückkäufen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opLeftCell="A13" workbookViewId="0">
      <selection activeCell="M36" sqref="M36"/>
    </sheetView>
  </sheetViews>
  <sheetFormatPr baseColWidth="10" defaultColWidth="9.140625" defaultRowHeight="15" x14ac:dyDescent="0.25"/>
  <cols>
    <col min="1" max="1" width="35.5703125" style="1" bestFit="1" customWidth="1"/>
    <col min="2" max="2" width="13.85546875" style="1" customWidth="1"/>
    <col min="3" max="4" width="13" style="1" bestFit="1" customWidth="1"/>
    <col min="5" max="5" width="13.85546875" style="1" bestFit="1" customWidth="1"/>
    <col min="6" max="6" width="12.28515625" style="1" bestFit="1" customWidth="1"/>
    <col min="7" max="7" width="13.7109375" style="1" bestFit="1" customWidth="1"/>
    <col min="8" max="8" width="13" style="1" bestFit="1" customWidth="1"/>
    <col min="9" max="10" width="13" style="1" customWidth="1"/>
    <col min="11" max="16384" width="9.140625" style="1"/>
  </cols>
  <sheetData>
    <row r="1" spans="1:12" x14ac:dyDescent="0.25">
      <c r="A1" s="1" t="s">
        <v>11</v>
      </c>
    </row>
    <row r="3" spans="1:12" x14ac:dyDescent="0.25">
      <c r="A3" s="1" t="s">
        <v>29</v>
      </c>
    </row>
    <row r="5" spans="1:12" x14ac:dyDescent="0.25">
      <c r="B5" s="3" t="s">
        <v>12</v>
      </c>
      <c r="I5" s="129" t="s">
        <v>98</v>
      </c>
      <c r="J5" s="129" t="s">
        <v>100</v>
      </c>
    </row>
    <row r="6" spans="1:12" x14ac:dyDescent="0.25">
      <c r="B6" s="3"/>
      <c r="C6" s="12" t="s">
        <v>0</v>
      </c>
      <c r="D6" s="121" t="s">
        <v>1</v>
      </c>
      <c r="E6" s="12" t="s">
        <v>2</v>
      </c>
      <c r="F6" s="12" t="s">
        <v>3</v>
      </c>
      <c r="G6" s="12" t="s">
        <v>0</v>
      </c>
      <c r="H6" s="12" t="s">
        <v>1</v>
      </c>
      <c r="I6" s="130" t="s">
        <v>1</v>
      </c>
      <c r="J6" s="130" t="s">
        <v>0</v>
      </c>
      <c r="K6" s="12" t="s">
        <v>2</v>
      </c>
      <c r="L6" s="12" t="s">
        <v>3</v>
      </c>
    </row>
    <row r="7" spans="1:12" x14ac:dyDescent="0.25">
      <c r="A7" s="9" t="s">
        <v>25</v>
      </c>
      <c r="B7" s="10"/>
      <c r="C7" s="13">
        <v>2022</v>
      </c>
      <c r="D7" s="122">
        <v>2022</v>
      </c>
      <c r="E7" s="13">
        <v>2022</v>
      </c>
      <c r="F7" s="13">
        <v>2022</v>
      </c>
      <c r="G7" s="13">
        <v>2023</v>
      </c>
      <c r="H7" s="13">
        <v>2023</v>
      </c>
      <c r="I7" s="131">
        <v>2022</v>
      </c>
      <c r="J7" s="131">
        <v>2023</v>
      </c>
      <c r="K7" s="13">
        <v>2023</v>
      </c>
      <c r="L7" s="13">
        <v>2023</v>
      </c>
    </row>
    <row r="8" spans="1:12" s="7" customFormat="1" x14ac:dyDescent="0.25">
      <c r="A8" s="108" t="s">
        <v>19</v>
      </c>
      <c r="B8" s="8"/>
      <c r="C8" s="7">
        <v>502051</v>
      </c>
      <c r="D8" s="123">
        <v>605743</v>
      </c>
      <c r="E8" s="7">
        <v>664751</v>
      </c>
      <c r="F8" s="7">
        <v>901119</v>
      </c>
      <c r="G8" s="7">
        <v>674081</v>
      </c>
      <c r="H8" s="7">
        <v>798753</v>
      </c>
      <c r="I8" s="132">
        <v>406138</v>
      </c>
      <c r="J8" s="133">
        <v>250081</v>
      </c>
    </row>
    <row r="9" spans="1:12" s="2" customFormat="1" x14ac:dyDescent="0.25">
      <c r="A9" s="109" t="s">
        <v>18</v>
      </c>
      <c r="B9" s="4"/>
      <c r="C9" s="2">
        <v>193958</v>
      </c>
      <c r="D9" s="124">
        <v>217422</v>
      </c>
      <c r="E9" s="2">
        <v>243042</v>
      </c>
      <c r="F9" s="2">
        <v>289363</v>
      </c>
      <c r="G9" s="2">
        <v>322929</v>
      </c>
      <c r="H9" s="2">
        <v>346405</v>
      </c>
      <c r="I9" s="132">
        <v>406138</v>
      </c>
      <c r="J9" s="133">
        <v>250081</v>
      </c>
    </row>
    <row r="10" spans="1:12" s="115" customFormat="1" x14ac:dyDescent="0.25">
      <c r="A10" s="113" t="s">
        <v>84</v>
      </c>
      <c r="B10" s="114" t="s">
        <v>17</v>
      </c>
      <c r="C10" s="115">
        <v>0.60299999999999998</v>
      </c>
      <c r="D10" s="125">
        <v>0.60699999999999998</v>
      </c>
      <c r="E10" s="115">
        <v>0.64700000000000002</v>
      </c>
      <c r="F10" s="115">
        <v>0.66500000000000004</v>
      </c>
      <c r="G10" s="115">
        <v>0.67600000000000005</v>
      </c>
      <c r="H10" s="115">
        <v>0.69299999999999995</v>
      </c>
      <c r="I10" s="134">
        <f>324213/I9</f>
        <v>0.79828284967178642</v>
      </c>
      <c r="J10" s="135">
        <f>177102/J8</f>
        <v>0.70817855014975151</v>
      </c>
    </row>
    <row r="11" spans="1:12" x14ac:dyDescent="0.25">
      <c r="A11" s="110" t="s">
        <v>5</v>
      </c>
      <c r="B11" s="3" t="s">
        <v>13</v>
      </c>
      <c r="D11" s="126"/>
      <c r="E11" s="5"/>
      <c r="F11" s="5"/>
      <c r="G11" s="5">
        <f>G9/C9-1</f>
        <v>0.66494292578805725</v>
      </c>
      <c r="H11" s="5">
        <f>H9/D9-1</f>
        <v>0.59323803478948767</v>
      </c>
      <c r="I11" s="134">
        <f>(406138/233549)-1</f>
        <v>0.73898411040081524</v>
      </c>
      <c r="J11" s="136">
        <f>250081/193095-1</f>
        <v>0.29511898288407257</v>
      </c>
    </row>
    <row r="12" spans="1:12" x14ac:dyDescent="0.25">
      <c r="A12" s="110" t="s">
        <v>96</v>
      </c>
      <c r="B12" s="3"/>
      <c r="D12" s="126">
        <f>D9/C9-1</f>
        <v>0.12097464399509161</v>
      </c>
      <c r="E12" s="5">
        <f t="shared" ref="E12:H12" si="0">E9/D9-1</f>
        <v>0.11783536164693542</v>
      </c>
      <c r="F12" s="5">
        <f t="shared" si="0"/>
        <v>0.1905884579619983</v>
      </c>
      <c r="G12" s="5">
        <f>G9/F9-1</f>
        <v>0.11599962676637987</v>
      </c>
      <c r="H12" s="5">
        <f t="shared" si="0"/>
        <v>7.2697094407748963E-2</v>
      </c>
      <c r="I12" s="137"/>
      <c r="J12" s="133"/>
    </row>
    <row r="13" spans="1:12" s="2" customFormat="1" x14ac:dyDescent="0.25">
      <c r="A13" s="109" t="s">
        <v>21</v>
      </c>
      <c r="B13" s="4"/>
      <c r="D13" s="124"/>
      <c r="G13" s="2">
        <f>G9-C9</f>
        <v>128971</v>
      </c>
      <c r="H13" s="2">
        <f>H9-D9</f>
        <v>128983</v>
      </c>
      <c r="I13" s="138">
        <f>I8-233549</f>
        <v>172589</v>
      </c>
      <c r="J13" s="138"/>
    </row>
    <row r="14" spans="1:12" x14ac:dyDescent="0.25">
      <c r="A14" s="110" t="s">
        <v>97</v>
      </c>
      <c r="B14" s="3"/>
      <c r="D14" s="124">
        <f t="shared" ref="D14:E14" si="1">D9-C9</f>
        <v>23464</v>
      </c>
      <c r="E14" s="2">
        <f t="shared" si="1"/>
        <v>25620</v>
      </c>
      <c r="F14" s="2">
        <f>F9-E9</f>
        <v>46321</v>
      </c>
      <c r="G14" s="2">
        <f>G9-F9</f>
        <v>33566</v>
      </c>
      <c r="H14" s="2">
        <f>H9-G9</f>
        <v>23476</v>
      </c>
      <c r="I14" s="132">
        <f>I8-(769168-I9)</f>
        <v>43108</v>
      </c>
      <c r="J14" s="130">
        <f>J9-239355</f>
        <v>10726</v>
      </c>
    </row>
    <row r="15" spans="1:12" x14ac:dyDescent="0.25">
      <c r="A15" s="110"/>
      <c r="B15" s="3"/>
      <c r="D15" s="127"/>
      <c r="I15" s="137"/>
      <c r="J15" s="137"/>
    </row>
    <row r="16" spans="1:12" s="2" customFormat="1" x14ac:dyDescent="0.25">
      <c r="A16" s="109" t="s">
        <v>4</v>
      </c>
      <c r="B16" s="4"/>
      <c r="D16" s="124">
        <v>382129</v>
      </c>
      <c r="E16" s="2">
        <v>386932</v>
      </c>
      <c r="F16" s="2">
        <v>409431</v>
      </c>
      <c r="G16" s="2">
        <v>395213</v>
      </c>
      <c r="H16" s="2">
        <v>410622</v>
      </c>
      <c r="I16" s="138">
        <v>115270</v>
      </c>
      <c r="J16" s="138">
        <v>125006</v>
      </c>
    </row>
    <row r="17" spans="1:10" ht="30" x14ac:dyDescent="0.25">
      <c r="A17" s="111" t="s">
        <v>24</v>
      </c>
      <c r="B17" s="3" t="s">
        <v>14</v>
      </c>
      <c r="D17" s="127"/>
      <c r="G17" s="6">
        <f>G13/G16</f>
        <v>0.32633288884727985</v>
      </c>
      <c r="H17" s="6">
        <f>H13/H16</f>
        <v>0.31411614574961888</v>
      </c>
      <c r="I17" s="139">
        <f>I13/I16</f>
        <v>1.4972586102194847</v>
      </c>
      <c r="J17" s="139"/>
    </row>
    <row r="18" spans="1:10" x14ac:dyDescent="0.25">
      <c r="A18" s="110" t="s">
        <v>22</v>
      </c>
      <c r="B18" s="3" t="s">
        <v>23</v>
      </c>
      <c r="D18" s="128">
        <f t="shared" ref="D18:E18" si="2">D14*4/D16</f>
        <v>0.24561339233609591</v>
      </c>
      <c r="E18" s="6">
        <f t="shared" si="2"/>
        <v>0.26485273898256023</v>
      </c>
      <c r="F18" s="6">
        <f>F14*4/F16</f>
        <v>0.45254023266435617</v>
      </c>
      <c r="G18" s="6">
        <f>G14*4/G16</f>
        <v>0.33972566691885137</v>
      </c>
      <c r="H18" s="6">
        <f>H14*4/H16</f>
        <v>0.2286872111090005</v>
      </c>
      <c r="I18" s="139">
        <f>I14*4/I16</f>
        <v>1.4958965906133426</v>
      </c>
      <c r="J18" s="139">
        <f>J14*4/J16</f>
        <v>0.34321552565476859</v>
      </c>
    </row>
    <row r="19" spans="1:10" x14ac:dyDescent="0.25">
      <c r="A19" s="110"/>
      <c r="B19" s="3"/>
      <c r="D19" s="127"/>
      <c r="I19" s="137"/>
      <c r="J19" s="137"/>
    </row>
    <row r="20" spans="1:10" s="2" customFormat="1" x14ac:dyDescent="0.25">
      <c r="A20" s="109" t="s">
        <v>10</v>
      </c>
      <c r="B20" s="4" t="s">
        <v>15</v>
      </c>
      <c r="C20" s="2">
        <v>-435347</v>
      </c>
      <c r="D20" s="124">
        <v>-344430</v>
      </c>
      <c r="E20" s="2">
        <v>-288366</v>
      </c>
      <c r="F20" s="2">
        <v>-78686</v>
      </c>
      <c r="G20" s="2">
        <f>-291687</f>
        <v>-291687</v>
      </c>
      <c r="H20" s="2">
        <v>-190098</v>
      </c>
      <c r="I20" s="138">
        <v>-3139</v>
      </c>
      <c r="J20" s="138">
        <v>-60641</v>
      </c>
    </row>
    <row r="21" spans="1:10" x14ac:dyDescent="0.25">
      <c r="A21" s="110"/>
      <c r="B21" s="3"/>
      <c r="D21" s="127"/>
      <c r="I21" s="137"/>
      <c r="J21" s="137"/>
    </row>
    <row r="22" spans="1:10" s="2" customFormat="1" x14ac:dyDescent="0.25">
      <c r="A22" s="109" t="s">
        <v>6</v>
      </c>
      <c r="B22" s="4" t="s">
        <v>16</v>
      </c>
      <c r="C22" s="2">
        <v>70660</v>
      </c>
      <c r="D22" s="124">
        <f>14740-C22</f>
        <v>-55920</v>
      </c>
      <c r="E22" s="2">
        <v>-19381</v>
      </c>
      <c r="F22" s="2">
        <f>132689</f>
        <v>132689</v>
      </c>
      <c r="G22" s="2">
        <v>143347</v>
      </c>
      <c r="H22" s="2">
        <v>-18628</v>
      </c>
      <c r="I22" s="138">
        <v>72960</v>
      </c>
      <c r="J22" s="138">
        <v>-9705</v>
      </c>
    </row>
    <row r="23" spans="1:10" s="2" customFormat="1" x14ac:dyDescent="0.25">
      <c r="A23" s="109" t="s">
        <v>31</v>
      </c>
      <c r="B23" s="4"/>
      <c r="D23" s="124">
        <v>-3510</v>
      </c>
      <c r="E23" s="2">
        <v>-5467</v>
      </c>
      <c r="F23" s="2">
        <v>-841</v>
      </c>
      <c r="H23" s="2">
        <v>-3458</v>
      </c>
      <c r="I23" s="138">
        <v>-5987</v>
      </c>
      <c r="J23" s="138">
        <v>-479</v>
      </c>
    </row>
    <row r="24" spans="1:10" s="2" customFormat="1" x14ac:dyDescent="0.25">
      <c r="A24" s="109" t="s">
        <v>32</v>
      </c>
      <c r="B24" s="4"/>
      <c r="D24" s="124">
        <v>-2082</v>
      </c>
      <c r="E24" s="2">
        <v>-695</v>
      </c>
      <c r="F24" s="2">
        <v>-3518</v>
      </c>
      <c r="H24" s="2">
        <v>-2562</v>
      </c>
      <c r="I24" s="138">
        <v>-6807</v>
      </c>
      <c r="J24" s="138"/>
    </row>
    <row r="25" spans="1:10" s="2" customFormat="1" x14ac:dyDescent="0.25">
      <c r="A25" s="109" t="s">
        <v>8</v>
      </c>
      <c r="B25" s="4"/>
      <c r="D25" s="124"/>
      <c r="G25" s="5">
        <f>G22/C22-1</f>
        <v>1.0286866685536373</v>
      </c>
      <c r="I25" s="138"/>
      <c r="J25" s="138"/>
    </row>
    <row r="26" spans="1:10" s="2" customFormat="1" x14ac:dyDescent="0.25">
      <c r="A26" s="109" t="s">
        <v>7</v>
      </c>
      <c r="B26" s="4" t="s">
        <v>16</v>
      </c>
      <c r="C26" s="2">
        <v>66741</v>
      </c>
      <c r="D26" s="124">
        <f>SUM(D22:D24)</f>
        <v>-61512</v>
      </c>
      <c r="E26" s="2">
        <f t="shared" ref="E26:F26" si="3">SUM(E22:E24)</f>
        <v>-25543</v>
      </c>
      <c r="F26" s="2">
        <f t="shared" si="3"/>
        <v>128330</v>
      </c>
      <c r="G26" s="2">
        <v>137727</v>
      </c>
      <c r="H26" s="2">
        <f>SUM(H22:H24)</f>
        <v>-24648</v>
      </c>
      <c r="I26" s="138">
        <f>SUM(I22:I24)</f>
        <v>60166</v>
      </c>
      <c r="J26" s="138">
        <f>SUM(J22:J24)</f>
        <v>-10184</v>
      </c>
    </row>
    <row r="27" spans="1:10" x14ac:dyDescent="0.25">
      <c r="A27" s="109" t="s">
        <v>9</v>
      </c>
      <c r="B27" s="3"/>
      <c r="D27" s="127"/>
      <c r="G27" s="5">
        <f>G26/C26-1</f>
        <v>1.0636040814491841</v>
      </c>
      <c r="H27" s="5">
        <f>H26/D26-1</f>
        <v>-0.59929769801014432</v>
      </c>
      <c r="I27" s="134"/>
      <c r="J27" s="134"/>
    </row>
    <row r="28" spans="1:10" x14ac:dyDescent="0.25">
      <c r="A28" s="110" t="s">
        <v>20</v>
      </c>
      <c r="B28" s="3" t="s">
        <v>28</v>
      </c>
      <c r="D28" s="127"/>
      <c r="G28" s="5">
        <f>G26/G8</f>
        <v>0.20431817541215372</v>
      </c>
      <c r="H28" s="5">
        <f>H26/H8</f>
        <v>-3.0858100063473941E-2</v>
      </c>
      <c r="I28" s="134"/>
      <c r="J28" s="134"/>
    </row>
    <row r="29" spans="1:10" s="5" customFormat="1" x14ac:dyDescent="0.25">
      <c r="A29" s="112" t="s">
        <v>26</v>
      </c>
      <c r="B29" s="11" t="s">
        <v>27</v>
      </c>
      <c r="C29" s="5">
        <v>1.29</v>
      </c>
      <c r="D29" s="126">
        <v>1.29</v>
      </c>
      <c r="E29" s="5">
        <v>1.3</v>
      </c>
      <c r="F29" s="5">
        <v>1.32</v>
      </c>
      <c r="G29" s="5">
        <v>1.3</v>
      </c>
      <c r="H29" s="5">
        <v>1.29</v>
      </c>
      <c r="I29" s="134"/>
      <c r="J29" s="134"/>
    </row>
    <row r="30" spans="1:10" x14ac:dyDescent="0.25">
      <c r="A30" s="110"/>
      <c r="B30" s="3"/>
      <c r="I30" s="137"/>
      <c r="J30" s="137"/>
    </row>
    <row r="31" spans="1:10" x14ac:dyDescent="0.25">
      <c r="A31" s="110"/>
      <c r="B31" s="3"/>
      <c r="I31" s="137"/>
      <c r="J31" s="137"/>
    </row>
    <row r="32" spans="1:10" s="2" customFormat="1" x14ac:dyDescent="0.25">
      <c r="A32" s="109" t="s">
        <v>30</v>
      </c>
      <c r="B32" s="4"/>
      <c r="C32" s="2">
        <v>182417</v>
      </c>
      <c r="D32" s="2">
        <v>204780</v>
      </c>
      <c r="E32" s="2">
        <v>203760</v>
      </c>
      <c r="F32" s="2">
        <v>203861</v>
      </c>
      <c r="G32" s="2">
        <v>213665</v>
      </c>
      <c r="H32" s="2">
        <v>199476</v>
      </c>
      <c r="I32" s="138">
        <v>82399</v>
      </c>
      <c r="J32" s="138">
        <v>46883</v>
      </c>
    </row>
    <row r="33" spans="1:10" s="2" customFormat="1" x14ac:dyDescent="0.25">
      <c r="A33" s="109" t="s">
        <v>33</v>
      </c>
      <c r="B33" s="4"/>
      <c r="C33" s="2" t="s">
        <v>83</v>
      </c>
      <c r="D33" s="2">
        <v>192208</v>
      </c>
      <c r="E33" s="2">
        <v>807792</v>
      </c>
      <c r="F33" s="2" t="s">
        <v>83</v>
      </c>
      <c r="G33" s="2" t="s">
        <v>83</v>
      </c>
      <c r="H33" s="2" t="s">
        <v>83</v>
      </c>
      <c r="I33" s="138"/>
      <c r="J33" s="138"/>
    </row>
    <row r="34" spans="1:10" x14ac:dyDescent="0.25">
      <c r="A34" s="110"/>
      <c r="B34" s="3"/>
      <c r="I34" s="137"/>
      <c r="J34" s="137"/>
    </row>
    <row r="35" spans="1:10" s="118" customFormat="1" x14ac:dyDescent="0.25">
      <c r="A35" s="116" t="s">
        <v>34</v>
      </c>
      <c r="B35" s="117"/>
      <c r="C35" s="118">
        <f>C20+C32</f>
        <v>-252930</v>
      </c>
      <c r="D35" s="118">
        <f t="shared" ref="D35:J35" si="4">D20+D32</f>
        <v>-139650</v>
      </c>
      <c r="E35" s="118">
        <f t="shared" si="4"/>
        <v>-84606</v>
      </c>
      <c r="F35" s="118">
        <f t="shared" si="4"/>
        <v>125175</v>
      </c>
      <c r="G35" s="118">
        <f t="shared" si="4"/>
        <v>-78022</v>
      </c>
      <c r="H35" s="118">
        <f t="shared" si="4"/>
        <v>9378</v>
      </c>
      <c r="I35" s="140">
        <f t="shared" si="4"/>
        <v>79260</v>
      </c>
      <c r="J35" s="140">
        <f t="shared" si="4"/>
        <v>-13758</v>
      </c>
    </row>
    <row r="36" spans="1:10" x14ac:dyDescent="0.25">
      <c r="I36" s="137"/>
      <c r="J36" s="137"/>
    </row>
    <row r="37" spans="1:10" x14ac:dyDescent="0.25">
      <c r="A37" s="1" t="s">
        <v>99</v>
      </c>
      <c r="H37" s="1">
        <v>4.54</v>
      </c>
      <c r="I37" s="137">
        <v>18.7</v>
      </c>
      <c r="J37" s="137">
        <v>7.28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0" sqref="E10"/>
    </sheetView>
  </sheetViews>
  <sheetFormatPr baseColWidth="10" defaultRowHeight="15" x14ac:dyDescent="0.25"/>
  <cols>
    <col min="1" max="1" width="23.85546875" style="1" bestFit="1" customWidth="1"/>
    <col min="2" max="2" width="11.42578125" style="1"/>
    <col min="3" max="3" width="13.85546875" style="1" bestFit="1" customWidth="1"/>
    <col min="4" max="4" width="11.42578125" style="1"/>
    <col min="5" max="5" width="13.85546875" bestFit="1" customWidth="1"/>
  </cols>
  <sheetData>
    <row r="1" spans="1:5" x14ac:dyDescent="0.25">
      <c r="A1" s="1" t="s">
        <v>94</v>
      </c>
    </row>
    <row r="3" spans="1:5" x14ac:dyDescent="0.25">
      <c r="C3" s="1" t="s">
        <v>95</v>
      </c>
      <c r="E3" t="s">
        <v>95</v>
      </c>
    </row>
    <row r="4" spans="1:5" x14ac:dyDescent="0.25">
      <c r="B4" s="1" t="s">
        <v>85</v>
      </c>
      <c r="D4" s="1" t="s">
        <v>89</v>
      </c>
    </row>
    <row r="5" spans="1:5" x14ac:dyDescent="0.25">
      <c r="A5" s="1" t="s">
        <v>86</v>
      </c>
      <c r="B5" s="1" t="s">
        <v>91</v>
      </c>
      <c r="D5" s="1" t="s">
        <v>90</v>
      </c>
      <c r="E5" s="119">
        <v>0.25</v>
      </c>
    </row>
    <row r="6" spans="1:5" x14ac:dyDescent="0.25">
      <c r="A6" s="1" t="s">
        <v>87</v>
      </c>
      <c r="B6" s="1" t="s">
        <v>88</v>
      </c>
      <c r="D6" s="120">
        <v>0.08</v>
      </c>
    </row>
    <row r="7" spans="1:5" x14ac:dyDescent="0.25">
      <c r="A7" s="1" t="s">
        <v>92</v>
      </c>
      <c r="D7" s="1">
        <v>1800</v>
      </c>
      <c r="E7" s="119">
        <v>0.35</v>
      </c>
    </row>
    <row r="8" spans="1:5" x14ac:dyDescent="0.25">
      <c r="A8" s="1" t="s">
        <v>93</v>
      </c>
      <c r="D8" s="1">
        <v>3650</v>
      </c>
      <c r="E8" s="119">
        <v>0.17</v>
      </c>
    </row>
    <row r="9" spans="1:5" x14ac:dyDescent="0.25">
      <c r="A9" s="1" t="s">
        <v>7</v>
      </c>
      <c r="D9" s="1">
        <v>400</v>
      </c>
      <c r="E9" t="s">
        <v>83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abSelected="1" topLeftCell="A23" zoomScaleNormal="100" workbookViewId="0">
      <selection activeCell="C49" sqref="C49"/>
    </sheetView>
  </sheetViews>
  <sheetFormatPr baseColWidth="10" defaultColWidth="12.140625" defaultRowHeight="15.75" x14ac:dyDescent="0.25"/>
  <cols>
    <col min="1" max="1" width="31" style="35" bestFit="1" customWidth="1"/>
    <col min="2" max="2" width="37" style="35" customWidth="1"/>
    <col min="3" max="3" width="18.28515625" style="35" bestFit="1" customWidth="1"/>
    <col min="4" max="4" width="18.42578125" style="35" customWidth="1"/>
    <col min="5" max="5" width="16.140625" style="35" customWidth="1"/>
    <col min="6" max="6" width="17" style="35" customWidth="1"/>
    <col min="7" max="7" width="13.85546875" style="35" customWidth="1"/>
    <col min="8" max="14" width="12.140625" style="35"/>
    <col min="15" max="15" width="13.7109375" style="35" bestFit="1" customWidth="1"/>
    <col min="16" max="18" width="12.140625" style="35" customWidth="1"/>
    <col min="19" max="16384" width="12.140625" style="35"/>
  </cols>
  <sheetData>
    <row r="2" spans="1:28" ht="26.25" x14ac:dyDescent="0.4">
      <c r="B2" s="107" t="s">
        <v>57</v>
      </c>
    </row>
    <row r="4" spans="1:28" x14ac:dyDescent="0.25">
      <c r="B4" s="50" t="s">
        <v>82</v>
      </c>
    </row>
    <row r="6" spans="1:28" x14ac:dyDescent="0.25">
      <c r="B6" s="35" t="s">
        <v>81</v>
      </c>
    </row>
    <row r="9" spans="1:28" s="104" customFormat="1" x14ac:dyDescent="0.25">
      <c r="H9" s="106" t="s">
        <v>56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x14ac:dyDescent="0.25">
      <c r="A10" s="99"/>
      <c r="B10" s="99"/>
      <c r="C10" s="103"/>
      <c r="D10" s="103"/>
      <c r="E10" s="103"/>
      <c r="F10" s="103">
        <v>2022</v>
      </c>
      <c r="G10" s="102">
        <v>2023</v>
      </c>
      <c r="H10" s="102">
        <v>2024</v>
      </c>
      <c r="I10" s="102">
        <v>2025</v>
      </c>
      <c r="J10" s="102">
        <v>2026</v>
      </c>
      <c r="K10" s="102">
        <v>2027</v>
      </c>
      <c r="L10" s="102">
        <v>2028</v>
      </c>
      <c r="M10" s="102">
        <v>2029</v>
      </c>
      <c r="N10" s="102">
        <v>2030</v>
      </c>
      <c r="O10" s="102">
        <v>2031</v>
      </c>
      <c r="P10" s="102">
        <v>2032</v>
      </c>
      <c r="Q10" s="101" t="s">
        <v>58</v>
      </c>
    </row>
    <row r="11" spans="1:28" x14ac:dyDescent="0.25">
      <c r="A11" s="100"/>
      <c r="B11" s="99" t="s">
        <v>55</v>
      </c>
      <c r="C11" s="94"/>
      <c r="D11" s="94"/>
      <c r="E11" s="94"/>
      <c r="F11" s="98">
        <v>2673</v>
      </c>
      <c r="G11" s="97">
        <v>3328</v>
      </c>
      <c r="H11" s="97">
        <v>4041</v>
      </c>
      <c r="I11" s="97">
        <v>5056</v>
      </c>
      <c r="J11" s="97">
        <f t="shared" ref="J11:Q11" si="0">I11*(1+J12)</f>
        <v>6067.2</v>
      </c>
      <c r="K11" s="97">
        <f t="shared" si="0"/>
        <v>7280.6399999999994</v>
      </c>
      <c r="L11" s="97">
        <f t="shared" si="0"/>
        <v>8372.735999999999</v>
      </c>
      <c r="M11" s="97">
        <f t="shared" si="0"/>
        <v>9628.6463999999978</v>
      </c>
      <c r="N11" s="97">
        <f t="shared" si="0"/>
        <v>11072.943359999997</v>
      </c>
      <c r="O11" s="97">
        <f t="shared" si="0"/>
        <v>12180.237695999998</v>
      </c>
      <c r="P11" s="97">
        <f t="shared" si="0"/>
        <v>13398.261465599999</v>
      </c>
      <c r="Q11" s="97">
        <f t="shared" si="0"/>
        <v>13666.226694911998</v>
      </c>
    </row>
    <row r="12" spans="1:28" x14ac:dyDescent="0.25">
      <c r="A12" s="100"/>
      <c r="B12" s="99" t="s">
        <v>54</v>
      </c>
      <c r="C12" s="34"/>
      <c r="D12" s="34"/>
      <c r="E12" s="34"/>
      <c r="F12" s="28">
        <v>0</v>
      </c>
      <c r="G12" s="27">
        <f>G11/F11-1</f>
        <v>0.2450430228208007</v>
      </c>
      <c r="H12" s="27">
        <f>H11/G11-1</f>
        <v>0.21424278846153855</v>
      </c>
      <c r="I12" s="27">
        <f>I11/H11-1</f>
        <v>0.25117545162088595</v>
      </c>
      <c r="J12" s="27">
        <v>0.2</v>
      </c>
      <c r="K12" s="27">
        <v>0.2</v>
      </c>
      <c r="L12" s="29">
        <v>0.15</v>
      </c>
      <c r="M12" s="29">
        <v>0.15</v>
      </c>
      <c r="N12" s="29">
        <v>0.15</v>
      </c>
      <c r="O12" s="29">
        <v>0.1</v>
      </c>
      <c r="P12" s="29">
        <v>0.1</v>
      </c>
      <c r="Q12" s="29">
        <v>0.02</v>
      </c>
    </row>
    <row r="13" spans="1:28" ht="15.95" customHeight="1" x14ac:dyDescent="0.25">
      <c r="A13" s="100"/>
      <c r="B13" s="99" t="s">
        <v>53</v>
      </c>
      <c r="C13" s="34"/>
      <c r="D13" s="34"/>
      <c r="E13" s="34"/>
      <c r="F13" s="28">
        <v>-0.42873176206509539</v>
      </c>
      <c r="G13" s="27">
        <v>-0.08</v>
      </c>
      <c r="H13" s="27">
        <v>-0.08</v>
      </c>
      <c r="I13" s="27">
        <v>0</v>
      </c>
      <c r="J13" s="27">
        <f>J14/J11</f>
        <v>9.8892405063291139E-2</v>
      </c>
      <c r="K13" s="27">
        <v>0.15</v>
      </c>
      <c r="L13" s="27">
        <v>0.2</v>
      </c>
      <c r="M13" s="27">
        <v>0.25</v>
      </c>
      <c r="N13" s="27">
        <v>0.28000000000000003</v>
      </c>
      <c r="O13" s="27">
        <v>0.28000000000000003</v>
      </c>
      <c r="P13" s="27">
        <v>0.28000000000000003</v>
      </c>
      <c r="Q13" s="27">
        <v>0.4</v>
      </c>
    </row>
    <row r="14" spans="1:28" ht="17.100000000000001" customHeight="1" x14ac:dyDescent="0.25">
      <c r="A14" s="100"/>
      <c r="B14" s="99" t="s">
        <v>52</v>
      </c>
      <c r="C14" s="94"/>
      <c r="D14" s="94"/>
      <c r="E14" s="94"/>
      <c r="F14" s="98">
        <v>-1146</v>
      </c>
      <c r="G14" s="97">
        <f>G13*G11</f>
        <v>-266.24</v>
      </c>
      <c r="H14" s="97">
        <f>H13*H11</f>
        <v>-323.28000000000003</v>
      </c>
      <c r="I14" s="97">
        <f>I13*I11</f>
        <v>0</v>
      </c>
      <c r="J14" s="97">
        <v>600</v>
      </c>
      <c r="K14" s="97">
        <f t="shared" ref="K14:Q14" si="1">K11*K13</f>
        <v>1092.0959999999998</v>
      </c>
      <c r="L14" s="97">
        <f t="shared" si="1"/>
        <v>1674.5472</v>
      </c>
      <c r="M14" s="97">
        <f t="shared" si="1"/>
        <v>2407.1615999999995</v>
      </c>
      <c r="N14" s="97">
        <f t="shared" si="1"/>
        <v>3100.4241407999998</v>
      </c>
      <c r="O14" s="97">
        <f t="shared" si="1"/>
        <v>3410.4665548799999</v>
      </c>
      <c r="P14" s="97">
        <f t="shared" si="1"/>
        <v>3751.5132103679998</v>
      </c>
      <c r="Q14" s="97">
        <f t="shared" si="1"/>
        <v>5466.4906779647999</v>
      </c>
    </row>
    <row r="15" spans="1:28" x14ac:dyDescent="0.25">
      <c r="A15" s="26">
        <v>0.25</v>
      </c>
      <c r="B15" s="99" t="s">
        <v>80</v>
      </c>
      <c r="C15" s="94"/>
      <c r="D15" s="94"/>
      <c r="E15" s="94"/>
      <c r="F15" s="98">
        <v>-1146</v>
      </c>
      <c r="G15" s="97">
        <v>-992</v>
      </c>
      <c r="H15" s="97">
        <v>-964</v>
      </c>
      <c r="I15" s="97">
        <v>-834</v>
      </c>
      <c r="J15" s="97">
        <v>806</v>
      </c>
      <c r="K15" s="97">
        <v>1203</v>
      </c>
      <c r="L15" s="97">
        <f t="shared" ref="L15:Q15" si="2">L14*(1-$A$15)</f>
        <v>1255.9104</v>
      </c>
      <c r="M15" s="97">
        <f t="shared" si="2"/>
        <v>1805.3711999999996</v>
      </c>
      <c r="N15" s="97">
        <f t="shared" si="2"/>
        <v>2325.3181055999999</v>
      </c>
      <c r="O15" s="97">
        <f t="shared" si="2"/>
        <v>2557.8499161599998</v>
      </c>
      <c r="P15" s="97">
        <f t="shared" si="2"/>
        <v>2813.6349077759996</v>
      </c>
      <c r="Q15" s="97">
        <f t="shared" si="2"/>
        <v>4099.8680084735997</v>
      </c>
    </row>
    <row r="16" spans="1:28" ht="32.25" hidden="1" thickBot="1" x14ac:dyDescent="0.3">
      <c r="A16" s="96" t="s">
        <v>51</v>
      </c>
      <c r="B16" s="95"/>
      <c r="C16" s="25" t="e">
        <f t="shared" ref="C16:J16" si="3">C15/C14</f>
        <v>#DIV/0!</v>
      </c>
      <c r="D16" s="25" t="e">
        <f t="shared" si="3"/>
        <v>#DIV/0!</v>
      </c>
      <c r="E16" s="25" t="e">
        <f t="shared" si="3"/>
        <v>#DIV/0!</v>
      </c>
      <c r="F16" s="25">
        <f t="shared" si="3"/>
        <v>1</v>
      </c>
      <c r="G16" s="25">
        <f t="shared" si="3"/>
        <v>3.7259615384615383</v>
      </c>
      <c r="H16" s="25">
        <f t="shared" si="3"/>
        <v>2.9819351645632266</v>
      </c>
      <c r="I16" s="25" t="e">
        <f t="shared" si="3"/>
        <v>#DIV/0!</v>
      </c>
      <c r="J16" s="25">
        <f t="shared" si="3"/>
        <v>1.3433333333333333</v>
      </c>
    </row>
    <row r="17" spans="1:18" x14ac:dyDescent="0.25">
      <c r="A17" s="86" t="s">
        <v>79</v>
      </c>
      <c r="C17" s="94"/>
      <c r="D17" s="94"/>
      <c r="E17" s="94"/>
      <c r="F17" s="94"/>
      <c r="G17" s="93">
        <f t="shared" ref="G17:P17" si="4">G15/G18</f>
        <v>-6.1868915235844053</v>
      </c>
      <c r="H17" s="93">
        <f t="shared" si="4"/>
        <v>-5.9527341791114736</v>
      </c>
      <c r="I17" s="93">
        <f t="shared" si="4"/>
        <v>-5.09898967316356</v>
      </c>
      <c r="J17" s="93">
        <f t="shared" si="4"/>
        <v>4.8790104667590626</v>
      </c>
      <c r="K17" s="93">
        <f t="shared" si="4"/>
        <v>7.2100945771947433</v>
      </c>
      <c r="L17" s="93">
        <f t="shared" si="4"/>
        <v>7.6032416975091568</v>
      </c>
      <c r="M17" s="93">
        <f t="shared" si="4"/>
        <v>11.040060545625668</v>
      </c>
      <c r="N17" s="93">
        <f t="shared" si="4"/>
        <v>14.363230285622082</v>
      </c>
      <c r="O17" s="93">
        <f t="shared" si="4"/>
        <v>15.959144761802314</v>
      </c>
      <c r="P17" s="93">
        <f t="shared" si="4"/>
        <v>17.73238306866924</v>
      </c>
      <c r="Q17" s="93"/>
    </row>
    <row r="18" spans="1:18" ht="32.25" thickBot="1" x14ac:dyDescent="0.3">
      <c r="A18" s="86" t="s">
        <v>78</v>
      </c>
      <c r="C18" s="94"/>
      <c r="D18" s="94"/>
      <c r="E18" s="94"/>
      <c r="F18" s="94"/>
      <c r="G18" s="93">
        <f>D50</f>
        <v>160.339</v>
      </c>
      <c r="H18" s="93">
        <f>G18*1.01</f>
        <v>161.94238999999999</v>
      </c>
      <c r="I18" s="93">
        <f>H18*1.01</f>
        <v>163.5618139</v>
      </c>
      <c r="J18" s="93">
        <f>I18*1.01</f>
        <v>165.19743203900001</v>
      </c>
      <c r="K18" s="93">
        <f>J18*1.01</f>
        <v>166.84940635939</v>
      </c>
      <c r="L18" s="93">
        <f>K18*0.99</f>
        <v>165.18091229579611</v>
      </c>
      <c r="M18" s="93">
        <f>L18*0.99</f>
        <v>163.52910317283815</v>
      </c>
      <c r="N18" s="93">
        <f>M18*0.99</f>
        <v>161.89381214110978</v>
      </c>
      <c r="O18" s="93">
        <f>N18*0.99</f>
        <v>160.27487401969867</v>
      </c>
      <c r="P18" s="93">
        <f>O18*0.99</f>
        <v>158.67212527950167</v>
      </c>
      <c r="Q18" s="93"/>
    </row>
    <row r="19" spans="1:18" ht="16.5" thickBot="1" x14ac:dyDescent="0.3">
      <c r="A19" s="86"/>
      <c r="E19" s="92" t="s">
        <v>50</v>
      </c>
      <c r="F19" s="91"/>
      <c r="G19" s="90">
        <f>G15/(1+$C$55)</f>
        <v>-900.5901044030868</v>
      </c>
      <c r="H19" s="90">
        <f>H15/(1+$C$55)^2</f>
        <v>-794.52584877346112</v>
      </c>
      <c r="I19" s="90">
        <f>I15/(1+$C$55)^3</f>
        <v>-624.04016955101451</v>
      </c>
      <c r="J19" s="90">
        <f>J15/(1+$C$55)^4</f>
        <v>547.51627838876539</v>
      </c>
      <c r="K19" s="90">
        <f>K15/(1+$C$55)^5</f>
        <v>741.89615435491737</v>
      </c>
      <c r="L19" s="90">
        <f>L15/(1+$C$55)^6</f>
        <v>703.15593673883529</v>
      </c>
      <c r="M19" s="90">
        <f>M15/(1+$C$55)^7</f>
        <v>917.64562783665508</v>
      </c>
      <c r="N19" s="90">
        <f>N15/(1+$C$55)^8</f>
        <v>1073.0164036800834</v>
      </c>
      <c r="O19" s="90">
        <f>O15/(1+$C$55)^9</f>
        <v>1071.5551920545545</v>
      </c>
      <c r="P19" s="90">
        <f>P15/(1+$C$55)^10</f>
        <v>1070.0959702769042</v>
      </c>
      <c r="Q19" s="89">
        <f>(Q15/(C55-Q12))/(1+C55)^10</f>
        <v>19132.303061918356</v>
      </c>
    </row>
    <row r="20" spans="1:18" x14ac:dyDescent="0.25">
      <c r="A20" s="86"/>
      <c r="C20" s="88"/>
      <c r="D20" s="71"/>
      <c r="G20" s="87"/>
      <c r="H20" s="24"/>
      <c r="I20" s="87"/>
      <c r="J20" s="87"/>
      <c r="K20" s="87"/>
      <c r="L20" s="87"/>
      <c r="M20" s="87"/>
      <c r="N20" s="87"/>
      <c r="O20" s="87"/>
      <c r="P20" s="85"/>
      <c r="Q20" s="85"/>
      <c r="R20" s="85"/>
    </row>
    <row r="21" spans="1:18" x14ac:dyDescent="0.25">
      <c r="A21" s="86"/>
      <c r="P21" s="85"/>
      <c r="Q21" s="85"/>
      <c r="R21" s="85"/>
    </row>
    <row r="22" spans="1:18" ht="16.5" thickBot="1" x14ac:dyDescent="0.3">
      <c r="P22" s="85"/>
      <c r="Q22" s="85"/>
      <c r="R22" s="85"/>
    </row>
    <row r="23" spans="1:18" x14ac:dyDescent="0.25">
      <c r="A23" s="84" t="s">
        <v>77</v>
      </c>
      <c r="B23" s="82"/>
      <c r="C23" s="82"/>
      <c r="D23" s="83"/>
      <c r="E23" s="47"/>
      <c r="F23" s="82"/>
      <c r="G23" s="49" t="s">
        <v>76</v>
      </c>
      <c r="H23" s="47"/>
      <c r="I23" s="81">
        <v>2.5000000000000001E-2</v>
      </c>
      <c r="J23" s="46" t="s">
        <v>75</v>
      </c>
    </row>
    <row r="24" spans="1:18" x14ac:dyDescent="0.25">
      <c r="A24" s="73"/>
      <c r="B24" s="72"/>
      <c r="C24" s="72"/>
      <c r="D24" s="77"/>
      <c r="E24" s="72"/>
      <c r="F24" s="72"/>
      <c r="G24" s="39"/>
      <c r="I24" s="78"/>
      <c r="J24" s="38"/>
    </row>
    <row r="25" spans="1:18" x14ac:dyDescent="0.25">
      <c r="A25" s="73"/>
      <c r="B25" s="72"/>
      <c r="C25" s="72"/>
      <c r="D25" s="23"/>
      <c r="F25" s="72"/>
      <c r="G25" s="39" t="s">
        <v>74</v>
      </c>
      <c r="I25" s="33">
        <f>(I27-I23)*I29</f>
        <v>7.6500000000000012E-2</v>
      </c>
      <c r="J25" s="38"/>
    </row>
    <row r="26" spans="1:18" x14ac:dyDescent="0.25">
      <c r="A26" s="73"/>
      <c r="B26" s="72"/>
      <c r="C26" s="72"/>
      <c r="D26" s="23"/>
      <c r="F26" s="72"/>
      <c r="G26" s="39"/>
      <c r="I26" s="78"/>
      <c r="J26" s="38"/>
    </row>
    <row r="27" spans="1:18" x14ac:dyDescent="0.25">
      <c r="A27" s="73"/>
      <c r="B27" s="72"/>
      <c r="C27" s="72"/>
      <c r="D27" s="23"/>
      <c r="F27" s="72"/>
      <c r="G27" s="39" t="s">
        <v>73</v>
      </c>
      <c r="I27" s="76">
        <v>7.0000000000000007E-2</v>
      </c>
      <c r="J27" s="38" t="s">
        <v>72</v>
      </c>
    </row>
    <row r="28" spans="1:18" x14ac:dyDescent="0.25">
      <c r="A28" s="73"/>
      <c r="B28" s="72"/>
      <c r="C28" s="72"/>
      <c r="D28" s="80"/>
      <c r="F28" s="72"/>
      <c r="G28" s="39"/>
      <c r="I28" s="78"/>
      <c r="J28" s="38"/>
    </row>
    <row r="29" spans="1:18" x14ac:dyDescent="0.25">
      <c r="A29" s="73"/>
      <c r="B29" s="72"/>
      <c r="C29" s="72"/>
      <c r="D29" s="80"/>
      <c r="F29" s="72"/>
      <c r="G29" s="39" t="s">
        <v>71</v>
      </c>
      <c r="I29" s="79">
        <v>1.7</v>
      </c>
      <c r="J29" s="38" t="s">
        <v>70</v>
      </c>
    </row>
    <row r="30" spans="1:18" x14ac:dyDescent="0.25">
      <c r="A30" s="73"/>
      <c r="B30" s="72"/>
      <c r="C30" s="72"/>
      <c r="D30" s="22"/>
      <c r="F30" s="72"/>
      <c r="G30" s="39"/>
      <c r="I30" s="78"/>
      <c r="J30" s="38"/>
    </row>
    <row r="31" spans="1:18" x14ac:dyDescent="0.25">
      <c r="A31" s="73"/>
      <c r="B31" s="72"/>
      <c r="C31" s="72"/>
      <c r="D31" s="77"/>
      <c r="F31" s="72"/>
      <c r="G31" s="39" t="s">
        <v>69</v>
      </c>
      <c r="I31" s="76">
        <f>I23+(I27-I23)*I29</f>
        <v>0.10150000000000001</v>
      </c>
      <c r="J31" s="38" t="s">
        <v>68</v>
      </c>
    </row>
    <row r="32" spans="1:18" x14ac:dyDescent="0.25">
      <c r="A32" s="39"/>
      <c r="C32" s="15"/>
      <c r="E32" s="72"/>
      <c r="F32" s="72"/>
      <c r="G32" s="39"/>
      <c r="J32" s="38"/>
    </row>
    <row r="33" spans="1:10" x14ac:dyDescent="0.25">
      <c r="A33" s="39"/>
      <c r="G33" s="75" t="s">
        <v>67</v>
      </c>
      <c r="H33" s="50"/>
      <c r="I33" s="74">
        <f>I31</f>
        <v>0.10150000000000001</v>
      </c>
      <c r="J33" s="38"/>
    </row>
    <row r="34" spans="1:10" x14ac:dyDescent="0.25">
      <c r="A34" s="73" t="s">
        <v>49</v>
      </c>
      <c r="B34" s="72"/>
      <c r="C34" s="71"/>
      <c r="D34" s="70"/>
      <c r="G34" s="39"/>
      <c r="J34" s="38"/>
    </row>
    <row r="35" spans="1:10" ht="15.75" hidden="1" customHeight="1" x14ac:dyDescent="0.25">
      <c r="A35" s="39"/>
      <c r="G35" s="39"/>
      <c r="J35" s="38"/>
    </row>
    <row r="36" spans="1:10" ht="15.75" hidden="1" customHeight="1" x14ac:dyDescent="0.25">
      <c r="A36" s="39"/>
      <c r="B36" s="35" t="s">
        <v>48</v>
      </c>
      <c r="D36" s="69">
        <v>0.08</v>
      </c>
      <c r="G36" s="39"/>
      <c r="J36" s="38"/>
    </row>
    <row r="37" spans="1:10" ht="15.75" hidden="1" customHeight="1" x14ac:dyDescent="0.25">
      <c r="A37" s="39"/>
      <c r="G37" s="39"/>
      <c r="J37" s="38"/>
    </row>
    <row r="38" spans="1:10" ht="15.75" hidden="1" customHeight="1" x14ac:dyDescent="0.25">
      <c r="A38" s="39"/>
      <c r="G38" s="39"/>
      <c r="J38" s="38"/>
    </row>
    <row r="39" spans="1:10" ht="15.75" hidden="1" customHeight="1" x14ac:dyDescent="0.25">
      <c r="A39" s="39"/>
      <c r="G39" s="39"/>
      <c r="J39" s="38"/>
    </row>
    <row r="40" spans="1:10" hidden="1" x14ac:dyDescent="0.25">
      <c r="A40" s="39"/>
      <c r="B40" s="15"/>
      <c r="C40" s="15">
        <v>0.12</v>
      </c>
      <c r="D40" s="15" t="e">
        <f>((NPV(C40,$G$15:$Q$15)+(#REF!*(1+#REF!)/(C40-#REF!))/(1+C40)^(2040-2020))/$D$50)/$C$51-1</f>
        <v>#REF!</v>
      </c>
      <c r="G40" s="39"/>
      <c r="J40" s="38"/>
    </row>
    <row r="41" spans="1:10" hidden="1" x14ac:dyDescent="0.25">
      <c r="A41" s="39"/>
      <c r="B41" s="15"/>
      <c r="C41" s="15">
        <v>0.14000000000000001</v>
      </c>
      <c r="D41" s="15" t="e">
        <f>((NPV(C41,$G$15:$Q$15)+(#REF!*(1+#REF!)/(C41-#REF!))/(1+C41)^(2040-2020))/$D$50)/$C$51-1</f>
        <v>#REF!</v>
      </c>
      <c r="G41" s="39"/>
      <c r="J41" s="38"/>
    </row>
    <row r="42" spans="1:10" hidden="1" x14ac:dyDescent="0.25">
      <c r="A42" s="39"/>
      <c r="B42" s="15"/>
      <c r="C42" s="15">
        <v>0.16</v>
      </c>
      <c r="D42" s="15" t="e">
        <f>((NPV(C42,$G$15:$Q$15)+(#REF!*(1+#REF!)/(C42-#REF!))/(1+C42)^(2040-2020))/$D$50)/$C$51-1</f>
        <v>#REF!</v>
      </c>
      <c r="G42" s="39"/>
      <c r="J42" s="38"/>
    </row>
    <row r="43" spans="1:10" hidden="1" x14ac:dyDescent="0.25">
      <c r="A43" s="39"/>
      <c r="B43" s="15"/>
      <c r="C43" s="15">
        <v>0.18</v>
      </c>
      <c r="D43" s="15" t="e">
        <f>((NPV(C43,$G$15:$Q$15)+(#REF!*(1+#REF!)/(C43-#REF!))/(1+C43)^(2040-2020))/$D$50)/$C$51-1</f>
        <v>#REF!</v>
      </c>
      <c r="G43" s="39"/>
      <c r="J43" s="38"/>
    </row>
    <row r="44" spans="1:10" hidden="1" x14ac:dyDescent="0.25">
      <c r="A44" s="39"/>
      <c r="B44" s="15"/>
      <c r="C44" s="15">
        <v>0.2</v>
      </c>
      <c r="D44" s="15" t="e">
        <f>((NPV(C44,$G$15:$Q$15)+(#REF!*(1+#REF!)/(C44-#REF!))/(1+C44)^(2040-2020))/$D$50)/$C$51-1</f>
        <v>#REF!</v>
      </c>
      <c r="G44" s="39"/>
      <c r="J44" s="38"/>
    </row>
    <row r="45" spans="1:10" x14ac:dyDescent="0.25">
      <c r="A45" s="39"/>
      <c r="G45" s="39"/>
      <c r="J45" s="38"/>
    </row>
    <row r="46" spans="1:10" ht="16.5" thickBot="1" x14ac:dyDescent="0.3">
      <c r="A46" s="67"/>
      <c r="B46" s="66" t="s">
        <v>66</v>
      </c>
      <c r="C46" s="66"/>
      <c r="D46" s="68">
        <f>I33</f>
        <v>0.10150000000000001</v>
      </c>
      <c r="E46" s="66"/>
      <c r="F46" s="66"/>
      <c r="G46" s="67"/>
      <c r="H46" s="66"/>
      <c r="I46" s="66"/>
      <c r="J46" s="65"/>
    </row>
    <row r="48" spans="1:10" x14ac:dyDescent="0.25">
      <c r="A48" s="64"/>
      <c r="B48" s="63"/>
      <c r="C48" s="62">
        <v>44818</v>
      </c>
      <c r="D48" s="61" t="s">
        <v>47</v>
      </c>
      <c r="E48" s="60"/>
      <c r="F48" s="59"/>
      <c r="G48" s="58"/>
      <c r="H48" s="58"/>
      <c r="I48" s="58"/>
    </row>
    <row r="49" spans="1:17" x14ac:dyDescent="0.25">
      <c r="A49" s="54" t="s">
        <v>46</v>
      </c>
      <c r="B49" s="51" t="s">
        <v>45</v>
      </c>
      <c r="C49" s="55">
        <f>C50*C51</f>
        <v>15520.815199999999</v>
      </c>
      <c r="D49" s="57">
        <f>SUM(G19:Q19)</f>
        <v>22938.028502521509</v>
      </c>
      <c r="E49" s="51" t="s">
        <v>42</v>
      </c>
    </row>
    <row r="50" spans="1:17" x14ac:dyDescent="0.25">
      <c r="A50" s="54"/>
      <c r="B50" s="51" t="s">
        <v>44</v>
      </c>
      <c r="C50" s="56">
        <v>160.339</v>
      </c>
      <c r="D50" s="56">
        <f>C50</f>
        <v>160.339</v>
      </c>
      <c r="E50" s="51"/>
    </row>
    <row r="51" spans="1:17" x14ac:dyDescent="0.25">
      <c r="A51" s="54"/>
      <c r="B51" s="51" t="s">
        <v>43</v>
      </c>
      <c r="C51" s="51">
        <v>96.8</v>
      </c>
      <c r="D51" s="55">
        <f>D49/(D50)</f>
        <v>143.05957067539094</v>
      </c>
      <c r="E51" s="51" t="s">
        <v>42</v>
      </c>
    </row>
    <row r="52" spans="1:17" x14ac:dyDescent="0.25">
      <c r="A52" s="54"/>
      <c r="B52" s="51" t="s">
        <v>41</v>
      </c>
      <c r="C52" s="51"/>
      <c r="D52" s="21">
        <f>IF(C51/D51-1&gt;0,0,C51/D51-1)*-1</f>
        <v>0.32335879701719605</v>
      </c>
      <c r="E52" s="51"/>
    </row>
    <row r="53" spans="1:17" x14ac:dyDescent="0.25">
      <c r="A53" s="54"/>
      <c r="B53" s="51" t="s">
        <v>40</v>
      </c>
      <c r="C53" s="51"/>
      <c r="D53" s="20">
        <f>IF(C51/D51-1&lt;0,0,C51/D51-1)</f>
        <v>0</v>
      </c>
      <c r="E53" s="51"/>
    </row>
    <row r="54" spans="1:17" x14ac:dyDescent="0.25">
      <c r="A54" s="51"/>
      <c r="B54" s="51"/>
      <c r="C54" s="51"/>
      <c r="D54" s="53"/>
      <c r="E54" s="53"/>
    </row>
    <row r="55" spans="1:17" x14ac:dyDescent="0.25">
      <c r="A55" s="53" t="s">
        <v>65</v>
      </c>
      <c r="B55" s="51"/>
      <c r="C55" s="19">
        <f>D46</f>
        <v>0.10150000000000001</v>
      </c>
      <c r="D55" s="18"/>
      <c r="E55" s="51"/>
      <c r="J55" s="32"/>
    </row>
    <row r="56" spans="1:17" x14ac:dyDescent="0.25">
      <c r="A56" s="53"/>
      <c r="B56" s="51"/>
      <c r="C56" s="19"/>
      <c r="D56" s="18"/>
      <c r="E56" s="51"/>
    </row>
    <row r="57" spans="1:17" hidden="1" x14ac:dyDescent="0.25">
      <c r="A57" s="53" t="s">
        <v>64</v>
      </c>
      <c r="B57" s="52">
        <v>0.108</v>
      </c>
      <c r="C57" s="19"/>
      <c r="D57" s="31">
        <f>SUM(H57:Q57)*1000</f>
        <v>19267522.905984361</v>
      </c>
      <c r="E57" s="51"/>
      <c r="F57" s="35" t="s">
        <v>63</v>
      </c>
      <c r="H57" s="35">
        <f>G15/(1+$B$57)</f>
        <v>-895.30685920577605</v>
      </c>
      <c r="I57" s="35">
        <f>H15/(1+$B$57)^2</f>
        <v>-785.2311381615815</v>
      </c>
      <c r="J57" s="35">
        <f>I15/(1+$B$57)^3</f>
        <v>-613.12181608928552</v>
      </c>
      <c r="K57" s="35">
        <f>J15/(1+$B$57)^4</f>
        <v>534.78103845583894</v>
      </c>
      <c r="L57" s="35">
        <f>K15/(1+$B$57)^5</f>
        <v>720.38858970892295</v>
      </c>
      <c r="M57" s="35">
        <f>L15/(1+$B$57)^6</f>
        <v>678.76602256150329</v>
      </c>
      <c r="N57" s="35">
        <f>M15/(1+$B$57)^7</f>
        <v>880.61927566079476</v>
      </c>
      <c r="O57" s="35">
        <f>N15/(1+$B$57)^8</f>
        <v>1023.6801688186855</v>
      </c>
      <c r="P57" s="35">
        <f>O15/(1+$B$57)^9</f>
        <v>1016.2889762640377</v>
      </c>
      <c r="Q57" s="35">
        <f>(Q15/(B57-Q12))/(1+B57)^10</f>
        <v>16706.658647971224</v>
      </c>
    </row>
    <row r="58" spans="1:17" ht="16.5" thickBot="1" x14ac:dyDescent="0.3">
      <c r="A58" s="50"/>
      <c r="C58" s="17"/>
      <c r="D58" s="16"/>
    </row>
    <row r="59" spans="1:17" x14ac:dyDescent="0.25">
      <c r="A59" s="49" t="s">
        <v>62</v>
      </c>
      <c r="B59" s="47"/>
      <c r="C59" s="48">
        <v>23</v>
      </c>
      <c r="D59" s="47"/>
      <c r="E59" s="46"/>
    </row>
    <row r="60" spans="1:17" x14ac:dyDescent="0.25">
      <c r="A60" s="39" t="s">
        <v>61</v>
      </c>
      <c r="C60" s="45"/>
      <c r="E60" s="38"/>
    </row>
    <row r="61" spans="1:17" x14ac:dyDescent="0.25">
      <c r="A61" s="39"/>
      <c r="C61" s="45"/>
      <c r="E61" s="38"/>
    </row>
    <row r="62" spans="1:17" x14ac:dyDescent="0.25">
      <c r="A62" s="39" t="s">
        <v>60</v>
      </c>
      <c r="C62" s="45"/>
      <c r="E62" s="40">
        <f>P17*C59</f>
        <v>407.84481057939252</v>
      </c>
    </row>
    <row r="63" spans="1:17" x14ac:dyDescent="0.25">
      <c r="A63" s="39"/>
      <c r="C63" s="45"/>
      <c r="E63" s="38"/>
    </row>
    <row r="64" spans="1:17" x14ac:dyDescent="0.25">
      <c r="A64" s="39" t="s">
        <v>39</v>
      </c>
      <c r="C64" s="44">
        <v>0</v>
      </c>
      <c r="E64" s="38"/>
    </row>
    <row r="65" spans="1:5" x14ac:dyDescent="0.25">
      <c r="A65" s="39"/>
      <c r="E65" s="38"/>
    </row>
    <row r="66" spans="1:5" x14ac:dyDescent="0.25">
      <c r="A66" s="39" t="s">
        <v>38</v>
      </c>
      <c r="E66" s="40">
        <f>SUM(G17:Q17)*C64</f>
        <v>0</v>
      </c>
    </row>
    <row r="67" spans="1:5" x14ac:dyDescent="0.25">
      <c r="A67" s="39"/>
      <c r="E67" s="43"/>
    </row>
    <row r="68" spans="1:5" x14ac:dyDescent="0.25">
      <c r="A68" s="42" t="s">
        <v>59</v>
      </c>
      <c r="E68" s="41">
        <f>(E66*0.25)*-1</f>
        <v>0</v>
      </c>
    </row>
    <row r="69" spans="1:5" x14ac:dyDescent="0.25">
      <c r="A69" s="39"/>
      <c r="C69" s="15"/>
      <c r="D69" s="15"/>
      <c r="E69" s="14"/>
    </row>
    <row r="70" spans="1:5" x14ac:dyDescent="0.25">
      <c r="A70" s="39" t="s">
        <v>37</v>
      </c>
      <c r="E70" s="40">
        <f>SUM(E62:E68)</f>
        <v>407.84481057939252</v>
      </c>
    </row>
    <row r="71" spans="1:5" x14ac:dyDescent="0.25">
      <c r="A71" s="39"/>
      <c r="E71" s="40"/>
    </row>
    <row r="72" spans="1:5" x14ac:dyDescent="0.25">
      <c r="A72" s="39" t="s">
        <v>36</v>
      </c>
      <c r="E72" s="14">
        <f>E70/C51-1</f>
        <v>3.2132728365639727</v>
      </c>
    </row>
    <row r="73" spans="1:5" x14ac:dyDescent="0.25">
      <c r="A73" s="39"/>
      <c r="E73" s="38"/>
    </row>
    <row r="74" spans="1:5" ht="16.5" thickBot="1" x14ac:dyDescent="0.3">
      <c r="A74" s="37" t="s">
        <v>35</v>
      </c>
      <c r="B74" s="36"/>
      <c r="C74" s="36"/>
      <c r="D74" s="36"/>
      <c r="E74" s="30">
        <f>(E70/C51)^(1/10)-1</f>
        <v>0.15468083696338941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Splunk</vt:lpstr>
      <vt:lpstr>Ausblick</vt:lpstr>
      <vt:lpstr>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chris_grca1ny</cp:lastModifiedBy>
  <dcterms:created xsi:type="dcterms:W3CDTF">2015-06-05T18:19:34Z</dcterms:created>
  <dcterms:modified xsi:type="dcterms:W3CDTF">2022-09-14T18:13:14Z</dcterms:modified>
</cp:coreProperties>
</file>