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70AAA966-C9EC-447F-8D66-F2DC95F57CD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34" l="1"/>
  <c r="L11" i="34" s="1"/>
  <c r="M11" i="34" s="1"/>
  <c r="N11" i="34" s="1"/>
  <c r="O11" i="34" s="1"/>
  <c r="P11" i="34" s="1"/>
  <c r="Q11" i="34" s="1"/>
  <c r="J12" i="34"/>
  <c r="J12" i="32"/>
  <c r="K11" i="32" l="1"/>
  <c r="L11" i="32" s="1"/>
  <c r="M11" i="32" s="1"/>
  <c r="N11" i="32" s="1"/>
  <c r="O11" i="32" s="1"/>
  <c r="P11" i="32" s="1"/>
  <c r="Q11" i="32" s="1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C14" i="34" l="1"/>
  <c r="D14" i="34"/>
  <c r="E14" i="34"/>
  <c r="F14" i="34"/>
  <c r="G14" i="34"/>
  <c r="H14" i="34"/>
  <c r="I14" i="34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J14" i="32" l="1"/>
  <c r="L14" i="32"/>
  <c r="L15" i="32" s="1"/>
  <c r="K14" i="32"/>
  <c r="K15" i="32" s="1"/>
  <c r="K57" i="32" l="1"/>
  <c r="J19" i="32"/>
  <c r="J17" i="32"/>
  <c r="J16" i="32"/>
  <c r="L19" i="32"/>
  <c r="L17" i="32"/>
  <c r="M57" i="32"/>
  <c r="K19" i="32"/>
  <c r="K17" i="32"/>
  <c r="L57" i="32"/>
  <c r="M14" i="32"/>
  <c r="M15" i="32" s="1"/>
  <c r="N57" i="32" l="1"/>
  <c r="M17" i="32"/>
  <c r="M19" i="32"/>
  <c r="N14" i="32"/>
  <c r="N15" i="32" s="1"/>
  <c r="O14" i="32"/>
  <c r="O15" i="32" s="1"/>
  <c r="O19" i="32" s="1"/>
  <c r="N19" i="32" l="1"/>
  <c r="N17" i="32"/>
  <c r="O57" i="32"/>
  <c r="Q14" i="32" l="1"/>
  <c r="Q15" i="32" s="1"/>
  <c r="P14" i="32"/>
  <c r="P15" i="32" s="1"/>
  <c r="P17" i="32" s="1"/>
  <c r="O17" i="32"/>
  <c r="P57" i="32"/>
  <c r="E62" i="32" l="1"/>
  <c r="E66" i="32"/>
  <c r="E68" i="32" s="1"/>
  <c r="Q57" i="32"/>
  <c r="D57" i="32" s="1"/>
  <c r="Q19" i="32"/>
  <c r="P19" i="32"/>
  <c r="D41" i="32"/>
  <c r="D43" i="32"/>
  <c r="D44" i="32"/>
  <c r="D40" i="32"/>
  <c r="D42" i="32"/>
  <c r="D49" i="32" l="1"/>
  <c r="D51" i="32" s="1"/>
  <c r="D52" i="32" s="1"/>
  <c r="E70" i="32"/>
  <c r="D53" i="32" l="1"/>
  <c r="E74" i="32"/>
  <c r="E72" i="32" l="1"/>
  <c r="J14" i="34" l="1"/>
  <c r="J19" i="34" s="1"/>
  <c r="K14" i="34"/>
  <c r="K15" i="34" s="1"/>
  <c r="J17" i="34" l="1"/>
  <c r="J16" i="34"/>
  <c r="K57" i="34"/>
  <c r="K19" i="34"/>
  <c r="K17" i="34"/>
  <c r="L57" i="34"/>
  <c r="L14" i="34"/>
  <c r="L15" i="34" s="1"/>
  <c r="M57" i="34" l="1"/>
  <c r="L17" i="34"/>
  <c r="L19" i="34"/>
  <c r="M14" i="34"/>
  <c r="M15" i="34" s="1"/>
  <c r="N14" i="34" l="1"/>
  <c r="N15" i="34" s="1"/>
  <c r="M17" i="34"/>
  <c r="N57" i="34"/>
  <c r="M19" i="34"/>
  <c r="O14" i="34" l="1"/>
  <c r="O15" i="34" s="1"/>
  <c r="O57" i="34"/>
  <c r="N17" i="34"/>
  <c r="N19" i="34"/>
  <c r="O17" i="34" l="1"/>
  <c r="P57" i="34"/>
  <c r="O19" i="34"/>
  <c r="Q14" i="34"/>
  <c r="Q15" i="34" s="1"/>
  <c r="P14" i="34"/>
  <c r="P15" i="34" s="1"/>
  <c r="Q57" i="34" l="1"/>
  <c r="D57" i="34" s="1"/>
  <c r="Q19" i="34"/>
  <c r="D43" i="34"/>
  <c r="D40" i="34"/>
  <c r="D44" i="34"/>
  <c r="D41" i="34"/>
  <c r="P19" i="34"/>
  <c r="P17" i="34"/>
  <c r="D42" i="34"/>
  <c r="D49" i="34" l="1"/>
  <c r="D51" i="34" s="1"/>
  <c r="E62" i="34"/>
  <c r="E66" i="34"/>
  <c r="E68" i="34" s="1"/>
  <c r="E70" i="34" l="1"/>
  <c r="E74" i="34" s="1"/>
  <c r="D53" i="34"/>
  <c r="D52" i="34"/>
  <c r="E72" i="34" l="1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<sst xmlns="http://schemas.openxmlformats.org/spreadsheetml/2006/main" count="99" uniqueCount="49">
  <si>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</si>
  <si>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</si>
  <si>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</si>
  <si>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</si>
  <si>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</si>
  <si>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</si>
  <si>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</si>
  <si>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</si>
  <si>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</si>
  <si>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</si>
  <si>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</si>
  <si>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</si>
  <si>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</si>
  <si>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</si>
  <si>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</si>
  <si>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</si>
  <si>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</si>
  <si>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</si>
  <si>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</si>
  <si>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</si>
  <si>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</si>
  <si>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</si>
  <si>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</si>
  <si>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</si>
  <si>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</si>
  <si>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</si>
  <si>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</si>
  <si>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</si>
  <si>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</si>
  <si>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</si>
  <si>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</si>
  <si>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</si>
  <si>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</si>
  <si>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</si>
  <si>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</si>
  <si>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</si>
  <si>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</si>
  <si>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</si>
  <si>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</si>
  <si>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</si>
  <si>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</si>
  <si>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 xml:space="preserve"> Annahmen für Samsung</t>
  </si>
  <si>
    <t>2032ff.</t>
  </si>
  <si>
    <t>Quellensteuer Korea (32 %)</t>
  </si>
  <si>
    <t>KRW</t>
  </si>
  <si>
    <t>KGV Multiple in 2031</t>
  </si>
  <si>
    <t>Gesamtwert 2031</t>
  </si>
  <si>
    <t>Steigerung Gesamt bis 2031 in Prozent</t>
  </si>
  <si>
    <t>Renditeerwartung bis 2031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</si>
</sst>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Normal="100" workbookViewId="0">
      <selection activeCell="C52" sqref="C52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41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42</v>
      </c>
    </row>
    <row r="11" spans="1:28" x14ac:dyDescent="0.35">
      <c r="A11" s="5"/>
      <c r="B11" s="4" t="s">
        <v>4</v>
      </c>
      <c r="C11" s="84">
        <v>243771145</v>
      </c>
      <c r="D11" s="84">
        <v>230400881</v>
      </c>
      <c r="E11" s="84">
        <v>236806988</v>
      </c>
      <c r="F11" s="84">
        <v>279604799</v>
      </c>
      <c r="G11" s="74">
        <v>313478715.01999998</v>
      </c>
      <c r="H11" s="74">
        <v>324873271.77999997</v>
      </c>
      <c r="I11" s="74">
        <v>359788137.98000002</v>
      </c>
      <c r="J11" s="74">
        <v>393621755.93000001</v>
      </c>
      <c r="K11" s="74">
        <f>J11*(1+K12)</f>
        <v>421175278.84510005</v>
      </c>
      <c r="L11" s="74">
        <f>K11*(1+L12)</f>
        <v>442234042.78735507</v>
      </c>
      <c r="M11" s="74">
        <f t="shared" ref="M11:Q11" si="0">L11*(1+M12)</f>
        <v>455501064.07097572</v>
      </c>
      <c r="N11" s="74">
        <f t="shared" si="0"/>
        <v>464611085.35239524</v>
      </c>
      <c r="O11" s="74">
        <f t="shared" si="0"/>
        <v>473903307.05944318</v>
      </c>
      <c r="P11" s="74">
        <f t="shared" si="0"/>
        <v>483381373.20063204</v>
      </c>
      <c r="Q11" s="74">
        <f t="shared" si="0"/>
        <v>490632093.79864144</v>
      </c>
    </row>
    <row r="12" spans="1:28" x14ac:dyDescent="0.35">
      <c r="A12" s="5"/>
      <c r="B12" s="4" t="s">
        <v>1</v>
      </c>
      <c r="C12" s="88"/>
      <c r="D12" s="91">
        <f>D11/C11-1</f>
        <v>-5.4847607168600709E-2</v>
      </c>
      <c r="E12" s="91">
        <f t="shared" ref="E12:F12" si="1">E11/D11-1</f>
        <v>2.7804177536977281E-2</v>
      </c>
      <c r="F12" s="91">
        <f t="shared" si="1"/>
        <v>0.18072866582805402</v>
      </c>
      <c r="G12" s="87">
        <f>G11/F11-1</f>
        <v>0.12114926546736404</v>
      </c>
      <c r="H12" s="87">
        <f t="shared" ref="H12:J12" si="2">H11/G11-1</f>
        <v>3.6348741442534749E-2</v>
      </c>
      <c r="I12" s="87">
        <f t="shared" si="2"/>
        <v>0.10747226451932912</v>
      </c>
      <c r="J12" s="87">
        <f t="shared" si="2"/>
        <v>9.4037613746678739E-2</v>
      </c>
      <c r="K12" s="87">
        <v>7.0000000000000007E-2</v>
      </c>
      <c r="L12" s="73">
        <v>0.05</v>
      </c>
      <c r="M12" s="73">
        <v>0.03</v>
      </c>
      <c r="N12" s="73">
        <v>0.02</v>
      </c>
      <c r="O12" s="73">
        <v>0.02</v>
      </c>
      <c r="P12" s="73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90">
        <v>0.24160000000000001</v>
      </c>
      <c r="D13" s="90">
        <v>0.1205</v>
      </c>
      <c r="E13" s="90">
        <v>0.152</v>
      </c>
      <c r="F13" s="90">
        <v>0.1847</v>
      </c>
      <c r="G13" s="86">
        <v>0.17019999999999999</v>
      </c>
      <c r="H13" s="86">
        <v>0.15290000000000001</v>
      </c>
      <c r="I13" s="86">
        <v>0.17419999999999999</v>
      </c>
      <c r="J13" s="86">
        <v>0.19389999999999999</v>
      </c>
      <c r="K13" s="86">
        <v>0.19500000000000001</v>
      </c>
      <c r="L13" s="86">
        <v>0.19500000000000001</v>
      </c>
      <c r="M13" s="86">
        <v>0.19</v>
      </c>
      <c r="N13" s="86">
        <v>0.19</v>
      </c>
      <c r="O13" s="86">
        <v>0.185</v>
      </c>
      <c r="P13" s="86">
        <v>0.185</v>
      </c>
      <c r="Q13" s="86">
        <v>0.18</v>
      </c>
    </row>
    <row r="14" spans="1:28" ht="17.149999999999999" customHeight="1" x14ac:dyDescent="0.35">
      <c r="A14" s="5"/>
      <c r="B14" s="4" t="s">
        <v>16</v>
      </c>
      <c r="C14" s="84">
        <f>C11*C13</f>
        <v>58895108.631999999</v>
      </c>
      <c r="D14" s="84">
        <f t="shared" ref="D14:F14" si="3">D11*D13</f>
        <v>27763306.160499997</v>
      </c>
      <c r="E14" s="84">
        <f t="shared" si="3"/>
        <v>35994662.175999999</v>
      </c>
      <c r="F14" s="84">
        <f t="shared" si="3"/>
        <v>51643006.375299998</v>
      </c>
      <c r="G14" s="74">
        <f>G11*G13</f>
        <v>53354077.296403997</v>
      </c>
      <c r="H14" s="74">
        <f t="shared" ref="H14:J14" si="4">H11*H13</f>
        <v>49673123.255162001</v>
      </c>
      <c r="I14" s="74">
        <f t="shared" si="4"/>
        <v>62675093.636115998</v>
      </c>
      <c r="J14" s="74">
        <f t="shared" si="4"/>
        <v>76323258.474826992</v>
      </c>
      <c r="K14" s="74">
        <f t="shared" ref="K14:Q14" si="5">K11*K13</f>
        <v>82129179.374794513</v>
      </c>
      <c r="L14" s="74">
        <f t="shared" si="5"/>
        <v>86235638.343534246</v>
      </c>
      <c r="M14" s="74">
        <f t="shared" si="5"/>
        <v>86545202.173485383</v>
      </c>
      <c r="N14" s="74">
        <f t="shared" si="5"/>
        <v>88276106.216955096</v>
      </c>
      <c r="O14" s="74">
        <f t="shared" si="5"/>
        <v>87672111.805996984</v>
      </c>
      <c r="P14" s="74">
        <f t="shared" si="5"/>
        <v>89425554.042116925</v>
      </c>
      <c r="Q14" s="74">
        <f t="shared" si="5"/>
        <v>88313776.88375546</v>
      </c>
    </row>
    <row r="15" spans="1:28" x14ac:dyDescent="0.35">
      <c r="A15" s="102">
        <v>0.3</v>
      </c>
      <c r="B15" s="4" t="s">
        <v>39</v>
      </c>
      <c r="C15" s="84">
        <v>43878806.100000001</v>
      </c>
      <c r="D15" s="84">
        <v>21496402.197299998</v>
      </c>
      <c r="E15" s="84">
        <v>26096130.077600002</v>
      </c>
      <c r="F15" s="84">
        <v>39256513.779600002</v>
      </c>
      <c r="G15" s="74">
        <v>41065711.667619996</v>
      </c>
      <c r="H15" s="74">
        <v>38075147.452615999</v>
      </c>
      <c r="I15" s="74">
        <v>48031716.420330003</v>
      </c>
      <c r="J15" s="74">
        <v>57980484.648488998</v>
      </c>
      <c r="K15" s="74">
        <f>K14*(1-$A$15)</f>
        <v>57490425.562356159</v>
      </c>
      <c r="L15" s="74">
        <f>L14*(1-$A$15)</f>
        <v>60364946.840473965</v>
      </c>
      <c r="M15" s="74">
        <f t="shared" ref="M15:P15" si="6">M14*(1-$A$15)</f>
        <v>60581641.521439761</v>
      </c>
      <c r="N15" s="74">
        <f t="shared" si="6"/>
        <v>61793274.351868562</v>
      </c>
      <c r="O15" s="74">
        <f t="shared" si="6"/>
        <v>61370478.264197886</v>
      </c>
      <c r="P15" s="74">
        <f t="shared" si="6"/>
        <v>62597887.82948184</v>
      </c>
      <c r="Q15" s="74">
        <f>Q14*(1-$A$15)</f>
        <v>61819643.818628818</v>
      </c>
    </row>
    <row r="16" spans="1:28" ht="31.5" hidden="1" thickBot="1" x14ac:dyDescent="0.4">
      <c r="A16" s="13" t="s">
        <v>6</v>
      </c>
      <c r="B16" s="14"/>
      <c r="C16" s="15">
        <f t="shared" ref="C16:J16" si="7">C15/C14</f>
        <v>0.74503311258278149</v>
      </c>
      <c r="D16" s="15">
        <f t="shared" si="7"/>
        <v>0.77427385892116185</v>
      </c>
      <c r="E16" s="15">
        <f t="shared" si="7"/>
        <v>0.72500000000000009</v>
      </c>
      <c r="F16" s="15">
        <f t="shared" si="7"/>
        <v>0.76015159718462377</v>
      </c>
      <c r="G16" s="15">
        <f t="shared" si="7"/>
        <v>0.76968272620446532</v>
      </c>
      <c r="H16" s="15">
        <f t="shared" si="7"/>
        <v>0.7665140614780902</v>
      </c>
      <c r="I16" s="15">
        <f t="shared" si="7"/>
        <v>0.76636050516647536</v>
      </c>
      <c r="J16" s="15">
        <f t="shared" si="7"/>
        <v>0.75966993295513152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6045.5653374387202</v>
      </c>
      <c r="H17" s="74">
        <f t="shared" ref="H17:P17" si="8">H15/H18</f>
        <v>5608.1079025852669</v>
      </c>
      <c r="I17" s="74">
        <f t="shared" si="8"/>
        <v>7078.1551054173633</v>
      </c>
      <c r="J17" s="74">
        <f t="shared" si="8"/>
        <v>8548.5215626656118</v>
      </c>
      <c r="K17" s="74">
        <f t="shared" si="8"/>
        <v>8480.508528773049</v>
      </c>
      <c r="L17" s="74">
        <f t="shared" si="8"/>
        <v>8908.9884494364196</v>
      </c>
      <c r="M17" s="74">
        <f t="shared" si="8"/>
        <v>8945.4421546912272</v>
      </c>
      <c r="N17" s="74">
        <f t="shared" si="8"/>
        <v>9128.915455512808</v>
      </c>
      <c r="O17" s="74">
        <f t="shared" si="8"/>
        <v>9070.9899500027223</v>
      </c>
      <c r="P17" s="74">
        <f t="shared" si="8"/>
        <v>9257.0382681368446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6792.7</v>
      </c>
      <c r="H18" s="74">
        <f>G18*0.9995</f>
        <v>6789.3036499999998</v>
      </c>
      <c r="I18" s="74">
        <f t="shared" ref="I18:P18" si="9">H18*0.9995</f>
        <v>6785.9089981750003</v>
      </c>
      <c r="J18" s="74">
        <f t="shared" si="9"/>
        <v>6782.5160436759134</v>
      </c>
      <c r="K18" s="74">
        <f t="shared" si="9"/>
        <v>6779.1247856540758</v>
      </c>
      <c r="L18" s="74">
        <f t="shared" si="9"/>
        <v>6775.7352232612493</v>
      </c>
      <c r="M18" s="74">
        <f t="shared" si="9"/>
        <v>6772.3473556496192</v>
      </c>
      <c r="N18" s="74">
        <f t="shared" si="9"/>
        <v>6768.9611819717948</v>
      </c>
      <c r="O18" s="74">
        <f t="shared" si="9"/>
        <v>6765.576701380809</v>
      </c>
      <c r="P18" s="74">
        <f t="shared" si="9"/>
        <v>6762.1939130301189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37264711.132141553</v>
      </c>
      <c r="H19" s="53">
        <f>H15/(1+$C$55)^2</f>
        <v>31352949.638354279</v>
      </c>
      <c r="I19" s="53">
        <f>I15/(1+$C$55)^3</f>
        <v>35890815.218599215</v>
      </c>
      <c r="J19" s="53">
        <f>J15/(1+$C$55)^4</f>
        <v>39314745.003069021</v>
      </c>
      <c r="K19" s="53">
        <f>K15/(1+$C$55)^5</f>
        <v>35374275.257251494</v>
      </c>
      <c r="L19" s="53">
        <f>L15/(1+$C$55)^6</f>
        <v>33705071.706092618</v>
      </c>
      <c r="M19" s="53">
        <f>M15/(1+$C$55)^7</f>
        <v>30695158.140827045</v>
      </c>
      <c r="N19" s="53">
        <f>N15/(1+$C$55)^8</f>
        <v>28411126.409839917</v>
      </c>
      <c r="O19" s="53">
        <f>O15/(1+$C$55)^9</f>
        <v>25605022.22531661</v>
      </c>
      <c r="P19" s="53">
        <f>P15/(1+$C$55)^10</f>
        <v>23699748.339222267</v>
      </c>
      <c r="Q19" s="54">
        <f>(Q15/(C55-Q12))/(1+C55)^10</f>
        <v>269024170.33711755</v>
      </c>
    </row>
    <row r="20" spans="1:18" x14ac:dyDescent="0.3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0.03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3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7.2000000000000022E-2</v>
      </c>
      <c r="J25" s="26"/>
    </row>
    <row r="26" spans="1:18" x14ac:dyDescent="0.3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3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35">
      <c r="A29" s="35"/>
      <c r="B29" s="36"/>
      <c r="C29" s="36"/>
      <c r="D29" s="39"/>
      <c r="F29" s="36"/>
      <c r="G29" s="95" t="s">
        <v>35</v>
      </c>
      <c r="H29" s="6"/>
      <c r="I29" s="96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3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0.10200000000000002</v>
      </c>
      <c r="J31" s="26" t="s">
        <v>32</v>
      </c>
    </row>
    <row r="32" spans="1:18" x14ac:dyDescent="0.35">
      <c r="A32" s="25"/>
      <c r="C32" s="41"/>
      <c r="E32" s="36"/>
      <c r="F32" s="36"/>
      <c r="G32" s="95"/>
      <c r="H32" s="6"/>
      <c r="I32" s="6"/>
      <c r="J32" s="26"/>
    </row>
    <row r="33" spans="1:10" x14ac:dyDescent="0.35">
      <c r="A33" s="25"/>
      <c r="G33" s="99" t="s">
        <v>34</v>
      </c>
      <c r="H33" s="100"/>
      <c r="I33" s="101">
        <f>I31</f>
        <v>0.10200000000000002</v>
      </c>
      <c r="J33" s="26"/>
    </row>
    <row r="34" spans="1:10" x14ac:dyDescent="0.3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0.10200000000000002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44835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360692370</v>
      </c>
      <c r="D49" s="47">
        <f>SUM(G19:Q19)</f>
        <v>590337793.40783155</v>
      </c>
      <c r="E49" s="46" t="s">
        <v>44</v>
      </c>
    </row>
    <row r="50" spans="1:17" x14ac:dyDescent="0.35">
      <c r="A50" s="45"/>
      <c r="B50" s="46" t="s">
        <v>11</v>
      </c>
      <c r="C50" s="56">
        <v>6792.7</v>
      </c>
      <c r="D50" s="56">
        <f>C50</f>
        <v>6792.7</v>
      </c>
      <c r="E50" s="46"/>
    </row>
    <row r="51" spans="1:17" x14ac:dyDescent="0.35">
      <c r="A51" s="45"/>
      <c r="B51" s="46" t="s">
        <v>13</v>
      </c>
      <c r="C51" s="89">
        <v>53100</v>
      </c>
      <c r="D51" s="56">
        <f>D49/(D50)</f>
        <v>86907.679333377237</v>
      </c>
      <c r="E51" s="46" t="s">
        <v>44</v>
      </c>
    </row>
    <row r="52" spans="1:17" x14ac:dyDescent="0.35">
      <c r="A52" s="45"/>
      <c r="B52" s="46" t="s">
        <v>2</v>
      </c>
      <c r="C52" s="46"/>
      <c r="D52" s="57">
        <f>IF(C51/D51-1&gt;0,0,C51/D51-1)*-1</f>
        <v>0.38900681266256365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0.10200000000000002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528414131733.35168</v>
      </c>
      <c r="E57" s="46"/>
      <c r="F57" s="1" t="s">
        <v>23</v>
      </c>
      <c r="H57" s="1">
        <f>G15/(1+$B$57)</f>
        <v>37062916.667527072</v>
      </c>
      <c r="I57" s="1">
        <f>H15/(1+$B$57)^2</f>
        <v>31014306.400298443</v>
      </c>
      <c r="J57" s="1">
        <f>I15/(1+$B$57)^3</f>
        <v>35310903.11932648</v>
      </c>
      <c r="K57" s="1">
        <f>J15/(1+$B$57)^4</f>
        <v>38470054.330634959</v>
      </c>
      <c r="L57" s="1">
        <f>K15/(1+$B$57)^5</f>
        <v>34426805.147657163</v>
      </c>
      <c r="M57" s="1">
        <f>L15/(1+$B$57)^6</f>
        <v>32624679.968447667</v>
      </c>
      <c r="N57" s="1">
        <f>M15/(1+$B$57)^7</f>
        <v>29550355.779992629</v>
      </c>
      <c r="O57" s="1">
        <f>N15/(1+$B$57)^8</f>
        <v>27203396.11515566</v>
      </c>
      <c r="P57" s="1">
        <f>O15/(1+$B$57)^9</f>
        <v>24383815.537383016</v>
      </c>
      <c r="Q57" s="1">
        <f>(Q15/(B57-Q12))/(1+B57)^10</f>
        <v>238366898.66692865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45</v>
      </c>
      <c r="B59" s="23"/>
      <c r="C59" s="69">
        <v>8</v>
      </c>
      <c r="D59" s="23"/>
      <c r="E59" s="24"/>
    </row>
    <row r="60" spans="1:17" x14ac:dyDescent="0.35">
      <c r="A60" s="25" t="s">
        <v>21</v>
      </c>
      <c r="C60" s="70"/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74056.306145094757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0.4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32428.89308586402</v>
      </c>
    </row>
    <row r="67" spans="1:5" x14ac:dyDescent="0.35">
      <c r="A67" s="25"/>
      <c r="E67" s="61"/>
    </row>
    <row r="68" spans="1:5" x14ac:dyDescent="0.35">
      <c r="A68" s="62" t="s">
        <v>43</v>
      </c>
      <c r="E68" s="63">
        <f>(E66*0.32)*-1</f>
        <v>-10377.245787476486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46</v>
      </c>
      <c r="E70" s="60">
        <f>SUM(E62:E68)</f>
        <v>96107.9534434823</v>
      </c>
    </row>
    <row r="71" spans="1:5" x14ac:dyDescent="0.35">
      <c r="A71" s="25"/>
      <c r="E71" s="60"/>
    </row>
    <row r="72" spans="1:5" x14ac:dyDescent="0.35">
      <c r="A72" s="25" t="s">
        <v>47</v>
      </c>
      <c r="E72" s="64">
        <f>E70/C51-1</f>
        <v>0.80994262605428058</v>
      </c>
    </row>
    <row r="73" spans="1:5" x14ac:dyDescent="0.35">
      <c r="A73" s="25"/>
      <c r="E73" s="26"/>
    </row>
    <row r="74" spans="1:5" ht="16" thickBot="1" x14ac:dyDescent="0.4">
      <c r="A74" s="65" t="s">
        <v>48</v>
      </c>
      <c r="B74" s="66"/>
      <c r="C74" s="66"/>
      <c r="D74" s="66"/>
      <c r="E74" s="104">
        <f>(E70/C51)^(1/10)-1</f>
        <v>6.1124839314153911E-2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Normal="100" workbookViewId="0">
      <selection activeCell="C52" sqref="C52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41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42</v>
      </c>
    </row>
    <row r="11" spans="1:28" x14ac:dyDescent="0.35">
      <c r="A11" s="5"/>
      <c r="B11" s="4" t="s">
        <v>4</v>
      </c>
      <c r="C11" s="84">
        <v>243771145</v>
      </c>
      <c r="D11" s="84">
        <v>230400881</v>
      </c>
      <c r="E11" s="84">
        <v>236806988</v>
      </c>
      <c r="F11" s="84">
        <v>279604799</v>
      </c>
      <c r="G11" s="74">
        <v>313478715.01999998</v>
      </c>
      <c r="H11" s="74">
        <v>324873271.77999997</v>
      </c>
      <c r="I11" s="74">
        <v>359788137.98000002</v>
      </c>
      <c r="J11" s="74">
        <v>393621755.93000001</v>
      </c>
      <c r="K11" s="74">
        <f>J11*(1+K12)</f>
        <v>421175278.84510005</v>
      </c>
      <c r="L11" s="74">
        <f>K11*(1+L12)</f>
        <v>446445795.57580608</v>
      </c>
      <c r="M11" s="74">
        <f t="shared" ref="M11:Q11" si="0">L11*(1+M12)</f>
        <v>468768085.35459638</v>
      </c>
      <c r="N11" s="74">
        <f t="shared" si="0"/>
        <v>492206489.6223262</v>
      </c>
      <c r="O11" s="74">
        <f t="shared" si="0"/>
        <v>511894749.20721924</v>
      </c>
      <c r="P11" s="74">
        <f t="shared" si="0"/>
        <v>527251591.68343586</v>
      </c>
      <c r="Q11" s="74">
        <f t="shared" si="0"/>
        <v>537796623.51710463</v>
      </c>
    </row>
    <row r="12" spans="1:28" x14ac:dyDescent="0.35">
      <c r="A12" s="5"/>
      <c r="B12" s="4" t="s">
        <v>1</v>
      </c>
      <c r="C12" s="88"/>
      <c r="D12" s="91">
        <f t="shared" ref="D12" si="1">D11/C11-1</f>
        <v>-5.4847607168600709E-2</v>
      </c>
      <c r="E12" s="91">
        <f t="shared" ref="E12" si="2">E11/D11-1</f>
        <v>2.7804177536977281E-2</v>
      </c>
      <c r="F12" s="91">
        <f t="shared" ref="F12" si="3">F11/E11-1</f>
        <v>0.18072866582805402</v>
      </c>
      <c r="G12" s="87">
        <f t="shared" ref="G12" si="4">G11/F11-1</f>
        <v>0.12114926546736404</v>
      </c>
      <c r="H12" s="87">
        <f t="shared" ref="H12:J12" si="5">H11/G11-1</f>
        <v>3.6348741442534749E-2</v>
      </c>
      <c r="I12" s="87">
        <f t="shared" si="5"/>
        <v>0.10747226451932912</v>
      </c>
      <c r="J12" s="87">
        <f t="shared" si="5"/>
        <v>9.4037613746678739E-2</v>
      </c>
      <c r="K12" s="87">
        <v>7.0000000000000007E-2</v>
      </c>
      <c r="L12" s="73">
        <v>0.06</v>
      </c>
      <c r="M12" s="73">
        <v>0.05</v>
      </c>
      <c r="N12" s="73">
        <v>0.05</v>
      </c>
      <c r="O12" s="73">
        <v>0.04</v>
      </c>
      <c r="P12" s="73">
        <v>0.03</v>
      </c>
      <c r="Q12" s="12">
        <v>0.02</v>
      </c>
    </row>
    <row r="13" spans="1:28" ht="16" customHeight="1" x14ac:dyDescent="0.35">
      <c r="A13" s="5"/>
      <c r="B13" s="4" t="s">
        <v>15</v>
      </c>
      <c r="C13" s="90">
        <v>0.24160000000000001</v>
      </c>
      <c r="D13" s="90">
        <v>0.1205</v>
      </c>
      <c r="E13" s="90">
        <v>0.152</v>
      </c>
      <c r="F13" s="90">
        <v>0.1847</v>
      </c>
      <c r="G13" s="86">
        <v>0.17019999999999999</v>
      </c>
      <c r="H13" s="86">
        <v>0.15290000000000001</v>
      </c>
      <c r="I13" s="86">
        <v>0.17419999999999999</v>
      </c>
      <c r="J13" s="86">
        <v>0.19389999999999999</v>
      </c>
      <c r="K13" s="86">
        <v>0.2</v>
      </c>
      <c r="L13" s="86">
        <v>0.2</v>
      </c>
      <c r="M13" s="86">
        <v>0.2</v>
      </c>
      <c r="N13" s="86">
        <v>0.2</v>
      </c>
      <c r="O13" s="86">
        <v>0.2</v>
      </c>
      <c r="P13" s="86">
        <v>0.2</v>
      </c>
      <c r="Q13" s="86">
        <v>0.2</v>
      </c>
    </row>
    <row r="14" spans="1:28" ht="17.149999999999999" customHeight="1" x14ac:dyDescent="0.35">
      <c r="A14" s="5"/>
      <c r="B14" s="4" t="s">
        <v>16</v>
      </c>
      <c r="C14" s="84">
        <f>C11*C13</f>
        <v>58895108.631999999</v>
      </c>
      <c r="D14" s="84">
        <f t="shared" ref="D14:J14" si="6">D11*D13</f>
        <v>27763306.160499997</v>
      </c>
      <c r="E14" s="84">
        <f t="shared" si="6"/>
        <v>35994662.175999999</v>
      </c>
      <c r="F14" s="84">
        <f t="shared" si="6"/>
        <v>51643006.375299998</v>
      </c>
      <c r="G14" s="74">
        <f t="shared" si="6"/>
        <v>53354077.296403997</v>
      </c>
      <c r="H14" s="74">
        <f t="shared" si="6"/>
        <v>49673123.255162001</v>
      </c>
      <c r="I14" s="74">
        <f t="shared" si="6"/>
        <v>62675093.636115998</v>
      </c>
      <c r="J14" s="74">
        <f t="shared" si="6"/>
        <v>76323258.474826992</v>
      </c>
      <c r="K14" s="74">
        <f t="shared" ref="K14:Q14" si="7">K11*K13</f>
        <v>84235055.769020021</v>
      </c>
      <c r="L14" s="74">
        <f t="shared" si="7"/>
        <v>89289159.115161225</v>
      </c>
      <c r="M14" s="74">
        <f t="shared" si="7"/>
        <v>93753617.070919275</v>
      </c>
      <c r="N14" s="74">
        <f t="shared" si="7"/>
        <v>98441297.924465239</v>
      </c>
      <c r="O14" s="74">
        <f>O11*O13</f>
        <v>102378949.84144385</v>
      </c>
      <c r="P14" s="74">
        <f t="shared" si="7"/>
        <v>105450318.33668718</v>
      </c>
      <c r="Q14" s="74">
        <f t="shared" si="7"/>
        <v>107559324.70342094</v>
      </c>
    </row>
    <row r="15" spans="1:28" x14ac:dyDescent="0.35">
      <c r="A15" s="102">
        <v>0.25</v>
      </c>
      <c r="B15" s="4" t="s">
        <v>39</v>
      </c>
      <c r="C15" s="84">
        <v>43878806.100000001</v>
      </c>
      <c r="D15" s="84">
        <v>21496402.197299998</v>
      </c>
      <c r="E15" s="84">
        <v>26096130.077600002</v>
      </c>
      <c r="F15" s="84">
        <v>39256513.779600002</v>
      </c>
      <c r="G15" s="74">
        <v>41065711.667619996</v>
      </c>
      <c r="H15" s="74">
        <v>38075147.452615999</v>
      </c>
      <c r="I15" s="74">
        <v>48031716.420330003</v>
      </c>
      <c r="J15" s="74">
        <v>57980484.648488998</v>
      </c>
      <c r="K15" s="74">
        <f t="shared" ref="K15:Q15" si="8">K14*(1-$A$15)</f>
        <v>63176291.826765016</v>
      </c>
      <c r="L15" s="74">
        <f t="shared" si="8"/>
        <v>66966869.336370915</v>
      </c>
      <c r="M15" s="74">
        <f t="shared" si="8"/>
        <v>70315212.803189456</v>
      </c>
      <c r="N15" s="74">
        <f t="shared" si="8"/>
        <v>73830973.443348929</v>
      </c>
      <c r="O15" s="74">
        <f>O14*(1-$A$15)</f>
        <v>76784212.381082892</v>
      </c>
      <c r="P15" s="74">
        <f t="shared" si="8"/>
        <v>79087738.752515376</v>
      </c>
      <c r="Q15" s="74">
        <f t="shared" si="8"/>
        <v>80669493.527565703</v>
      </c>
    </row>
    <row r="16" spans="1:28" ht="31.5" hidden="1" thickBot="1" x14ac:dyDescent="0.4">
      <c r="A16" s="13" t="s">
        <v>6</v>
      </c>
      <c r="B16" s="14"/>
      <c r="C16" s="15">
        <f t="shared" ref="C16:J16" si="9">C15/C14</f>
        <v>0.74503311258278149</v>
      </c>
      <c r="D16" s="15">
        <f t="shared" si="9"/>
        <v>0.77427385892116185</v>
      </c>
      <c r="E16" s="15">
        <f t="shared" si="9"/>
        <v>0.72500000000000009</v>
      </c>
      <c r="F16" s="15">
        <f t="shared" si="9"/>
        <v>0.76015159718462377</v>
      </c>
      <c r="G16" s="15">
        <f t="shared" si="9"/>
        <v>0.76968272620446532</v>
      </c>
      <c r="H16" s="15">
        <f t="shared" si="9"/>
        <v>0.7665140614780902</v>
      </c>
      <c r="I16" s="15">
        <f t="shared" si="9"/>
        <v>0.76636050516647536</v>
      </c>
      <c r="J16" s="15">
        <f t="shared" si="9"/>
        <v>0.75966993295513152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6045.5653374387202</v>
      </c>
      <c r="H17" s="74">
        <f t="shared" ref="H17:O17" si="10">H15/H18</f>
        <v>5610.9147633973716</v>
      </c>
      <c r="I17" s="74">
        <f t="shared" si="10"/>
        <v>7085.2421188462968</v>
      </c>
      <c r="J17" s="74">
        <f t="shared" si="10"/>
        <v>8561.3636059325654</v>
      </c>
      <c r="K17" s="74">
        <f t="shared" si="10"/>
        <v>9337.9112904634239</v>
      </c>
      <c r="L17" s="74">
        <f t="shared" si="10"/>
        <v>9908.0940619531812</v>
      </c>
      <c r="M17" s="74">
        <f t="shared" si="10"/>
        <v>10413.912677728569</v>
      </c>
      <c r="N17" s="74">
        <f t="shared" si="10"/>
        <v>10945.553865480479</v>
      </c>
      <c r="O17" s="74">
        <f t="shared" si="10"/>
        <v>11394.770790890589</v>
      </c>
      <c r="P17" s="74">
        <f>P15/P18</f>
        <v>11748.3622768942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6792.7</v>
      </c>
      <c r="H18" s="74">
        <f>G18*0.999</f>
        <v>6785.9072999999999</v>
      </c>
      <c r="I18" s="74">
        <f t="shared" ref="I18:P18" si="11">H18*0.999</f>
        <v>6779.1213926999999</v>
      </c>
      <c r="J18" s="74">
        <f t="shared" si="11"/>
        <v>6772.3422713072996</v>
      </c>
      <c r="K18" s="74">
        <f t="shared" si="11"/>
        <v>6765.5699290359926</v>
      </c>
      <c r="L18" s="74">
        <f t="shared" si="11"/>
        <v>6758.8043591069563</v>
      </c>
      <c r="M18" s="74">
        <f t="shared" si="11"/>
        <v>6752.0455547478496</v>
      </c>
      <c r="N18" s="74">
        <f t="shared" si="11"/>
        <v>6745.2935091931013</v>
      </c>
      <c r="O18" s="74">
        <f t="shared" si="11"/>
        <v>6738.548215683908</v>
      </c>
      <c r="P18" s="74">
        <f t="shared" si="11"/>
        <v>6731.8096674682238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37264711.132141553</v>
      </c>
      <c r="H19" s="53">
        <f>H15/(1+$C$55)^2</f>
        <v>31352949.638354279</v>
      </c>
      <c r="I19" s="53">
        <f>I15/(1+$C$55)^3</f>
        <v>35890815.218599215</v>
      </c>
      <c r="J19" s="53">
        <f>J15/(1+$C$55)^4</f>
        <v>39314745.003069021</v>
      </c>
      <c r="K19" s="53">
        <f>K15/(1+$C$55)^5</f>
        <v>38872829.953023627</v>
      </c>
      <c r="L19" s="53">
        <f>L15/(1+$C$55)^6</f>
        <v>37391288.339568995</v>
      </c>
      <c r="M19" s="53">
        <f>M15/(1+$C$55)^7</f>
        <v>35626908.12753851</v>
      </c>
      <c r="N19" s="53">
        <f>N15/(1+$C$55)^8</f>
        <v>33945783.606093861</v>
      </c>
      <c r="O19" s="53">
        <f>O15/(1+$C$55)^9</f>
        <v>32035948.230796386</v>
      </c>
      <c r="P19" s="53">
        <f>P15/(1+$C$55)^10</f>
        <v>29942855.42442856</v>
      </c>
      <c r="Q19" s="54">
        <f>(Q15/(C55-Q12))/(1+C55)^10</f>
        <v>372459908.93801379</v>
      </c>
    </row>
    <row r="20" spans="1:18" x14ac:dyDescent="0.3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0.03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2">
        <f>(I27-I23)*I29</f>
        <v>7.2000000000000022E-2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1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1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1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1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3">
        <f>I23+(I27-I23)*I29</f>
        <v>0.10200000000000002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8" t="s">
        <v>34</v>
      </c>
      <c r="H33" s="22"/>
      <c r="I33" s="79">
        <f>I31</f>
        <v>0.10200000000000002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0.10200000000000002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44835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360692370</v>
      </c>
      <c r="D49" s="47">
        <f>SUM(G19:Q19)</f>
        <v>724098743.61162782</v>
      </c>
      <c r="E49" s="46" t="s">
        <v>44</v>
      </c>
    </row>
    <row r="50" spans="1:17" x14ac:dyDescent="0.35">
      <c r="A50" s="45"/>
      <c r="B50" s="46" t="s">
        <v>11</v>
      </c>
      <c r="C50" s="56">
        <v>6792.7</v>
      </c>
      <c r="D50" s="56">
        <f>C50</f>
        <v>6792.7</v>
      </c>
      <c r="E50" s="46"/>
    </row>
    <row r="51" spans="1:17" x14ac:dyDescent="0.35">
      <c r="A51" s="45"/>
      <c r="B51" s="46" t="s">
        <v>13</v>
      </c>
      <c r="C51" s="89">
        <v>53100</v>
      </c>
      <c r="D51" s="56">
        <f>D49/(D50)</f>
        <v>106599.54710374783</v>
      </c>
      <c r="E51" s="46" t="s">
        <v>44</v>
      </c>
    </row>
    <row r="52" spans="1:17" x14ac:dyDescent="0.35">
      <c r="A52" s="45"/>
      <c r="B52" s="46" t="s">
        <v>2</v>
      </c>
      <c r="C52" s="46"/>
      <c r="D52" s="57">
        <f>IF(C51/D51-1&gt;0,0,C51/D51-1)*-1</f>
        <v>0.50187405629105997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0.10200000000000002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641913763706.43335</v>
      </c>
      <c r="E57" s="46"/>
      <c r="F57" s="1" t="s">
        <v>23</v>
      </c>
      <c r="H57" s="1">
        <f>G15/(1+$B$57)</f>
        <v>37062916.667527072</v>
      </c>
      <c r="I57" s="1">
        <f>H15/(1+$B$57)^2</f>
        <v>31014306.400298443</v>
      </c>
      <c r="J57" s="1">
        <f>I15/(1+$B$57)^3</f>
        <v>35310903.11932648</v>
      </c>
      <c r="K57" s="1">
        <f>J15/(1+$B$57)^4</f>
        <v>38470054.330634959</v>
      </c>
      <c r="L57" s="1">
        <f>K15/(1+$B$57)^5</f>
        <v>37831654.00841447</v>
      </c>
      <c r="M57" s="1">
        <f>L15/(1+$B$57)^6</f>
        <v>36192737.589277372</v>
      </c>
      <c r="N57" s="1">
        <f>M15/(1+$B$57)^7</f>
        <v>34298171.903196059</v>
      </c>
      <c r="O57" s="1">
        <f>N15/(1+$B$57)^8</f>
        <v>32502780.233173151</v>
      </c>
      <c r="P57" s="1">
        <f>O15/(1+$B$57)^9</f>
        <v>30508024.767599344</v>
      </c>
      <c r="Q57" s="1">
        <f>(Q15/(B57-Q12))/(1+B57)^10</f>
        <v>328722214.68698597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45</v>
      </c>
      <c r="B59" s="23"/>
      <c r="C59" s="69">
        <v>15</v>
      </c>
      <c r="D59" s="23"/>
      <c r="E59" s="24"/>
    </row>
    <row r="60" spans="1:17" x14ac:dyDescent="0.35">
      <c r="A60" s="25" t="s">
        <v>21</v>
      </c>
      <c r="C60" s="70" t="s">
        <v>40</v>
      </c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176225.43415341299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0.4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36420.676315610159</v>
      </c>
    </row>
    <row r="67" spans="1:5" x14ac:dyDescent="0.35">
      <c r="A67" s="25"/>
      <c r="E67" s="61"/>
    </row>
    <row r="68" spans="1:5" x14ac:dyDescent="0.35">
      <c r="A68" s="62" t="s">
        <v>43</v>
      </c>
      <c r="E68" s="63">
        <f>(E66*0.32)*-1</f>
        <v>-11654.616420995251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46</v>
      </c>
      <c r="E70" s="60">
        <f>SUM(E62:E68)</f>
        <v>200991.4940480279</v>
      </c>
    </row>
    <row r="71" spans="1:5" x14ac:dyDescent="0.35">
      <c r="A71" s="25"/>
      <c r="E71" s="60"/>
    </row>
    <row r="72" spans="1:5" x14ac:dyDescent="0.35">
      <c r="A72" s="25" t="s">
        <v>47</v>
      </c>
      <c r="E72" s="64">
        <f>E70/C51-1</f>
        <v>2.7851505470438398</v>
      </c>
    </row>
    <row r="73" spans="1:5" x14ac:dyDescent="0.35">
      <c r="A73" s="25"/>
      <c r="E73" s="26"/>
    </row>
    <row r="74" spans="1:5" ht="16" thickBot="1" x14ac:dyDescent="0.4">
      <c r="A74" s="65" t="s">
        <v>48</v>
      </c>
      <c r="B74" s="66"/>
      <c r="C74" s="66"/>
      <c r="D74" s="66"/>
      <c r="E74" s="104">
        <f>(E70/C51)^(1/10)-1</f>
        <v>0.14237401466136923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2022-10-01T05:50:38Z</dcterms:modified>
</cp:coreProperties>
</file>