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7106F460-444A-4D77-884A-04F9D259D0BB}" xr6:coauthVersionLast="44" xr6:coauthVersionMax="44" xr10:uidLastSave="{00000000-0000-0000-0000-000000000000}"/>
  <bookViews>
    <workbookView xWindow="-28920" yWindow="-120" windowWidth="29040" windowHeight="15840" activeTab="1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32" l="1"/>
  <c r="J18" i="32"/>
  <c r="K18" i="32" s="1"/>
  <c r="L18" i="32" s="1"/>
  <c r="M18" i="32" s="1"/>
  <c r="N18" i="32" s="1"/>
  <c r="O18" i="32" s="1"/>
  <c r="P18" i="32" s="1"/>
  <c r="H18" i="32"/>
  <c r="I18" i="34" l="1"/>
  <c r="J18" i="34" s="1"/>
  <c r="K18" i="34" s="1"/>
  <c r="L18" i="34" s="1"/>
  <c r="M18" i="34" s="1"/>
  <c r="N18" i="34" s="1"/>
  <c r="O18" i="34" s="1"/>
  <c r="P18" i="34" s="1"/>
  <c r="H18" i="34"/>
  <c r="J12" i="34"/>
  <c r="J12" i="32" l="1"/>
  <c r="D14" i="34" l="1"/>
  <c r="E14" i="34"/>
  <c r="F14" i="34"/>
  <c r="G14" i="34"/>
  <c r="H14" i="34"/>
  <c r="I14" i="34"/>
  <c r="C14" i="34"/>
  <c r="K11" i="32" l="1"/>
  <c r="L11" i="32" s="1"/>
  <c r="M11" i="32" s="1"/>
  <c r="N11" i="32" s="1"/>
  <c r="O11" i="32" s="1"/>
  <c r="P11" i="32" s="1"/>
  <c r="Q11" i="32" s="1"/>
  <c r="D50" i="34" l="1"/>
  <c r="D50" i="32"/>
  <c r="G18" i="34"/>
  <c r="G18" i="32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J14" i="32" l="1"/>
  <c r="L14" i="32"/>
  <c r="L15" i="32" s="1"/>
  <c r="K14" i="32"/>
  <c r="K15" i="32" s="1"/>
  <c r="K57" i="32" l="1"/>
  <c r="J19" i="32"/>
  <c r="J17" i="32"/>
  <c r="J16" i="32"/>
  <c r="L19" i="32"/>
  <c r="L17" i="32"/>
  <c r="M57" i="32"/>
  <c r="K19" i="32"/>
  <c r="K17" i="32"/>
  <c r="L57" i="32"/>
  <c r="M14" i="32"/>
  <c r="M15" i="32" s="1"/>
  <c r="N57" i="32" l="1"/>
  <c r="M17" i="32"/>
  <c r="M19" i="32"/>
  <c r="N14" i="32"/>
  <c r="N15" i="32" s="1"/>
  <c r="O14" i="32"/>
  <c r="O15" i="32" s="1"/>
  <c r="O19" i="32" s="1"/>
  <c r="N19" i="32" l="1"/>
  <c r="N17" i="32"/>
  <c r="O57" i="32"/>
  <c r="Q14" i="32" l="1"/>
  <c r="Q15" i="32" s="1"/>
  <c r="P14" i="32"/>
  <c r="P15" i="32" s="1"/>
  <c r="P17" i="32" s="1"/>
  <c r="O17" i="32"/>
  <c r="P57" i="32"/>
  <c r="E62" i="32" l="1"/>
  <c r="E66" i="32"/>
  <c r="E68" i="32" s="1"/>
  <c r="Q57" i="32"/>
  <c r="D57" i="32" s="1"/>
  <c r="Q19" i="32"/>
  <c r="P19" i="32"/>
  <c r="D41" i="32"/>
  <c r="D43" i="32"/>
  <c r="D44" i="32"/>
  <c r="D40" i="32"/>
  <c r="D42" i="32"/>
  <c r="D49" i="32" l="1"/>
  <c r="D51" i="32" s="1"/>
  <c r="D52" i="32" s="1"/>
  <c r="E70" i="32"/>
  <c r="D53" i="32" l="1"/>
  <c r="E74" i="32"/>
  <c r="E72" i="32" l="1"/>
  <c r="K11" i="34" l="1"/>
  <c r="L11" i="34" l="1"/>
  <c r="K14" i="34"/>
  <c r="K15" i="34" s="1"/>
  <c r="J14" i="34"/>
  <c r="L14" i="34" l="1"/>
  <c r="L15" i="34" s="1"/>
  <c r="M11" i="34"/>
  <c r="K17" i="34"/>
  <c r="K19" i="34"/>
  <c r="L57" i="34"/>
  <c r="J17" i="34" l="1"/>
  <c r="K57" i="34"/>
  <c r="J19" i="34"/>
  <c r="J16" i="34"/>
  <c r="N11" i="34"/>
  <c r="M14" i="34"/>
  <c r="M15" i="34" s="1"/>
  <c r="L17" i="34"/>
  <c r="L19" i="34"/>
  <c r="M57" i="34"/>
  <c r="O11" i="34" l="1"/>
  <c r="N14" i="34"/>
  <c r="N15" i="34" s="1"/>
  <c r="M19" i="34"/>
  <c r="N57" i="34"/>
  <c r="M17" i="34"/>
  <c r="O57" i="34" l="1"/>
  <c r="N19" i="34"/>
  <c r="N17" i="34"/>
  <c r="P11" i="34"/>
  <c r="O14" i="34"/>
  <c r="O15" i="34" s="1"/>
  <c r="Q11" i="34" l="1"/>
  <c r="Q14" i="34" s="1"/>
  <c r="Q15" i="34" s="1"/>
  <c r="P14" i="34"/>
  <c r="P15" i="34" s="1"/>
  <c r="O17" i="34"/>
  <c r="O19" i="34"/>
  <c r="P57" i="34"/>
  <c r="D41" i="34" l="1"/>
  <c r="D40" i="34"/>
  <c r="D44" i="34"/>
  <c r="D43" i="34"/>
  <c r="D42" i="34"/>
  <c r="P17" i="34"/>
  <c r="P19" i="34"/>
  <c r="Q57" i="34"/>
  <c r="D57" i="34" s="1"/>
  <c r="Q19" i="34"/>
  <c r="D49" i="34" l="1"/>
  <c r="D51" i="34" s="1"/>
  <c r="D52" i="34" s="1"/>
  <c r="E62" i="34"/>
  <c r="E66" i="34"/>
  <c r="E68" i="34" s="1"/>
  <c r="D53" i="34" l="1"/>
  <c r="E70" i="34"/>
  <c r="E74" i="34" l="1"/>
  <c r="E72" i="34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<sst xmlns="http://schemas.openxmlformats.org/spreadsheetml/2006/main" count="99" uniqueCount="49">
  <si>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</si>
  <si>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</si>
  <si>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</si>
  <si>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</si>
  <si>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</si>
  <si>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</si>
  <si>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</si>
  <si>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</si>
  <si>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</si>
  <si>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</si>
  <si>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</si>
  <si>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</si>
  <si>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</si>
  <si>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</si>
  <si>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</si>
  <si>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</si>
  <si>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</si>
  <si>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</si>
  <si>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</si>
  <si>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</si>
  <si>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</si>
  <si>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</si>
  <si>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</si>
  <si>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</si>
  <si>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</si>
  <si>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</si>
  <si>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</si>
  <si>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</si>
  <si>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</si>
  <si>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</si>
  <si>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</si>
  <si>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</si>
  <si>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</si>
  <si>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</si>
  <si>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</si>
  <si>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</si>
  <si>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</si>
  <si>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</si>
  <si>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</si>
  <si>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</si>
  <si>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</si>
  <si>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USD</t>
  </si>
  <si>
    <t>2032ff.</t>
  </si>
  <si>
    <t>KGV Multiple in 2031</t>
  </si>
  <si>
    <t>Gesamtwert 2031</t>
  </si>
  <si>
    <t>Steigerung Gesamt bis 2031 in Prozent</t>
  </si>
  <si>
    <t>Renditeerwartung bis 2031 pro Jahr</t>
  </si>
  <si>
    <t xml:space="preserve"> Annahmen für ASML</t>
  </si>
  <si>
    <t>Quellensteuer Niederlande (25 %)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</si>
</sst>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zoomScaleNormal="100" workbookViewId="0"/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47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42</v>
      </c>
    </row>
    <row r="11" spans="1:28" x14ac:dyDescent="0.25">
      <c r="A11" s="5"/>
      <c r="B11" s="4" t="s">
        <v>4</v>
      </c>
      <c r="C11" s="84">
        <v>10944</v>
      </c>
      <c r="D11" s="84">
        <v>11820</v>
      </c>
      <c r="E11" s="84">
        <v>13978.5</v>
      </c>
      <c r="F11" s="84">
        <v>18611</v>
      </c>
      <c r="G11" s="74">
        <v>21099.9</v>
      </c>
      <c r="H11" s="74">
        <v>24969.919999999998</v>
      </c>
      <c r="I11" s="74">
        <v>27960.65</v>
      </c>
      <c r="J11" s="74">
        <v>32571.55</v>
      </c>
      <c r="K11" s="74">
        <f>J11*(1+K12)</f>
        <v>35502.989500000003</v>
      </c>
      <c r="L11" s="74">
        <f>K11*(1+L12)</f>
        <v>37278.138975000002</v>
      </c>
      <c r="M11" s="74">
        <f t="shared" ref="M11:Q11" si="0">L11*(1+M12)</f>
        <v>39142.045923750004</v>
      </c>
      <c r="N11" s="74">
        <f t="shared" si="0"/>
        <v>40707.727760700007</v>
      </c>
      <c r="O11" s="74">
        <f t="shared" si="0"/>
        <v>41928.959593521009</v>
      </c>
      <c r="P11" s="74">
        <f t="shared" si="0"/>
        <v>42767.538785391429</v>
      </c>
      <c r="Q11" s="74">
        <f t="shared" si="0"/>
        <v>43409.051867172297</v>
      </c>
    </row>
    <row r="12" spans="1:28" x14ac:dyDescent="0.25">
      <c r="A12" s="5"/>
      <c r="B12" s="4" t="s">
        <v>1</v>
      </c>
      <c r="C12" s="88"/>
      <c r="D12" s="91">
        <f>D11/C11-1</f>
        <v>8.0043859649122862E-2</v>
      </c>
      <c r="E12" s="91">
        <f t="shared" ref="E12:F12" si="1">E11/D11-1</f>
        <v>0.18261421319796955</v>
      </c>
      <c r="F12" s="91">
        <f t="shared" si="1"/>
        <v>0.33140179561469396</v>
      </c>
      <c r="G12" s="87">
        <f>G11/F11-1</f>
        <v>0.13373273870291769</v>
      </c>
      <c r="H12" s="87">
        <f t="shared" ref="H12:J12" si="2">H11/G11-1</f>
        <v>0.18341413940350404</v>
      </c>
      <c r="I12" s="87">
        <f t="shared" si="2"/>
        <v>0.11977331124809387</v>
      </c>
      <c r="J12" s="87">
        <f t="shared" si="2"/>
        <v>0.16490675288306944</v>
      </c>
      <c r="K12" s="87">
        <v>0.09</v>
      </c>
      <c r="L12" s="73">
        <v>0.05</v>
      </c>
      <c r="M12" s="73">
        <v>0.05</v>
      </c>
      <c r="N12" s="73">
        <v>0.04</v>
      </c>
      <c r="O12" s="73">
        <v>0.03</v>
      </c>
      <c r="P12" s="73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0.27100000000000002</v>
      </c>
      <c r="D13" s="90">
        <v>0.2361</v>
      </c>
      <c r="E13" s="90">
        <v>0.2898</v>
      </c>
      <c r="F13" s="90">
        <v>0.35120000000000001</v>
      </c>
      <c r="G13" s="86">
        <v>0.30430000000000001</v>
      </c>
      <c r="H13" s="86">
        <v>0.3382</v>
      </c>
      <c r="I13" s="86">
        <v>0.3629</v>
      </c>
      <c r="J13" s="86">
        <v>0.38540000000000002</v>
      </c>
      <c r="K13" s="86">
        <v>0.38</v>
      </c>
      <c r="L13" s="86">
        <v>0.375</v>
      </c>
      <c r="M13" s="86">
        <v>0.37</v>
      </c>
      <c r="N13" s="86">
        <v>0.36499999999999999</v>
      </c>
      <c r="O13" s="86">
        <v>0.36</v>
      </c>
      <c r="P13" s="86">
        <v>0.35499999999999998</v>
      </c>
      <c r="Q13" s="86">
        <v>0.35</v>
      </c>
    </row>
    <row r="14" spans="1:28" ht="17.100000000000001" customHeight="1" x14ac:dyDescent="0.25">
      <c r="A14" s="5"/>
      <c r="B14" s="4" t="s">
        <v>16</v>
      </c>
      <c r="C14" s="84">
        <f>C11*C13</f>
        <v>2965.8240000000001</v>
      </c>
      <c r="D14" s="84">
        <f t="shared" ref="D14:I14" si="3">D11*D13</f>
        <v>2790.7020000000002</v>
      </c>
      <c r="E14" s="84">
        <f t="shared" si="3"/>
        <v>4050.9693000000002</v>
      </c>
      <c r="F14" s="84">
        <f t="shared" si="3"/>
        <v>6536.1832000000004</v>
      </c>
      <c r="G14" s="74">
        <f t="shared" si="3"/>
        <v>6420.6995700000007</v>
      </c>
      <c r="H14" s="74">
        <f t="shared" si="3"/>
        <v>8444.8269439999985</v>
      </c>
      <c r="I14" s="74">
        <f t="shared" si="3"/>
        <v>10146.919885000001</v>
      </c>
      <c r="J14" s="74">
        <f t="shared" ref="J14" si="4">J11*J13</f>
        <v>12553.07537</v>
      </c>
      <c r="K14" s="74">
        <f t="shared" ref="K14:Q14" si="5">K11*K13</f>
        <v>13491.136010000002</v>
      </c>
      <c r="L14" s="74">
        <f t="shared" si="5"/>
        <v>13979.302115625</v>
      </c>
      <c r="M14" s="74">
        <f t="shared" si="5"/>
        <v>14482.556991787502</v>
      </c>
      <c r="N14" s="74">
        <f t="shared" si="5"/>
        <v>14858.320632655503</v>
      </c>
      <c r="O14" s="74">
        <f t="shared" si="5"/>
        <v>15094.425453667563</v>
      </c>
      <c r="P14" s="74">
        <f t="shared" si="5"/>
        <v>15182.476268813956</v>
      </c>
      <c r="Q14" s="74">
        <f t="shared" si="5"/>
        <v>15193.168153510303</v>
      </c>
    </row>
    <row r="15" spans="1:28" x14ac:dyDescent="0.25">
      <c r="A15" s="102">
        <v>0.2</v>
      </c>
      <c r="B15" s="4" t="s">
        <v>39</v>
      </c>
      <c r="C15" s="84">
        <v>2591.5392000000002</v>
      </c>
      <c r="D15" s="84">
        <v>2592.1259999999997</v>
      </c>
      <c r="E15" s="84">
        <v>3553.3346999999999</v>
      </c>
      <c r="F15" s="84">
        <v>5882.9371000000001</v>
      </c>
      <c r="G15" s="74">
        <v>5536.6137600000011</v>
      </c>
      <c r="H15" s="74">
        <v>7258.755744</v>
      </c>
      <c r="I15" s="74">
        <v>8681.781825</v>
      </c>
      <c r="J15" s="74">
        <v>10582.496595000001</v>
      </c>
      <c r="K15" s="74">
        <f>K14*(1-$A$15)</f>
        <v>10792.908808000002</v>
      </c>
      <c r="L15" s="74">
        <f>L14*(1-$A$15)</f>
        <v>11183.4416925</v>
      </c>
      <c r="M15" s="74">
        <f t="shared" ref="M15:P15" si="6">M14*(1-$A$15)</f>
        <v>11586.045593430003</v>
      </c>
      <c r="N15" s="74">
        <f t="shared" si="6"/>
        <v>11886.656506124404</v>
      </c>
      <c r="O15" s="74">
        <f t="shared" si="6"/>
        <v>12075.540362934051</v>
      </c>
      <c r="P15" s="74">
        <f t="shared" si="6"/>
        <v>12145.981015051166</v>
      </c>
      <c r="Q15" s="74">
        <f>Q14*(1-$A$15)</f>
        <v>12154.534522808244</v>
      </c>
    </row>
    <row r="16" spans="1:28" ht="32.25" hidden="1" thickBot="1" x14ac:dyDescent="0.3">
      <c r="A16" s="13" t="s">
        <v>6</v>
      </c>
      <c r="B16" s="14"/>
      <c r="C16" s="15">
        <f t="shared" ref="C16:J16" si="7">C15/C14</f>
        <v>0.87380073800738012</v>
      </c>
      <c r="D16" s="15">
        <f t="shared" si="7"/>
        <v>0.92884371029224888</v>
      </c>
      <c r="E16" s="15">
        <f t="shared" si="7"/>
        <v>0.8771566597653554</v>
      </c>
      <c r="F16" s="15">
        <f t="shared" si="7"/>
        <v>0.90005694760820043</v>
      </c>
      <c r="G16" s="15">
        <f t="shared" si="7"/>
        <v>0.86230693394676317</v>
      </c>
      <c r="H16" s="15">
        <f t="shared" si="7"/>
        <v>0.85955056179775291</v>
      </c>
      <c r="I16" s="15">
        <f t="shared" si="7"/>
        <v>0.85560760540093683</v>
      </c>
      <c r="J16" s="15">
        <f t="shared" si="7"/>
        <v>0.84302023871302545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13.490774269005851</v>
      </c>
      <c r="H17" s="74">
        <f t="shared" ref="H17:P17" si="8">H15/H18</f>
        <v>17.731355054302423</v>
      </c>
      <c r="I17" s="74">
        <f t="shared" si="8"/>
        <v>21.260609312491095</v>
      </c>
      <c r="J17" s="74">
        <f t="shared" si="8"/>
        <v>25.980175006877101</v>
      </c>
      <c r="K17" s="74">
        <f t="shared" si="8"/>
        <v>26.563147759453411</v>
      </c>
      <c r="L17" s="74">
        <f t="shared" si="8"/>
        <v>27.593297534058248</v>
      </c>
      <c r="M17" s="74">
        <f t="shared" si="8"/>
        <v>28.658302000285058</v>
      </c>
      <c r="N17" s="74">
        <f t="shared" si="8"/>
        <v>29.475557649009577</v>
      </c>
      <c r="O17" s="74">
        <f t="shared" si="8"/>
        <v>30.018983832877399</v>
      </c>
      <c r="P17" s="74">
        <f t="shared" si="8"/>
        <v>30.269768994388485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410.4</v>
      </c>
      <c r="H18" s="74">
        <f>G18*0.9975</f>
        <v>409.37400000000002</v>
      </c>
      <c r="I18" s="74">
        <f t="shared" ref="I18:P18" si="9">H18*0.9975</f>
        <v>408.35056500000002</v>
      </c>
      <c r="J18" s="74">
        <f t="shared" si="9"/>
        <v>407.32968858750002</v>
      </c>
      <c r="K18" s="74">
        <f t="shared" si="9"/>
        <v>406.31136436603128</v>
      </c>
      <c r="L18" s="74">
        <f t="shared" si="9"/>
        <v>405.29558595511622</v>
      </c>
      <c r="M18" s="74">
        <f t="shared" si="9"/>
        <v>404.28234699022846</v>
      </c>
      <c r="N18" s="74">
        <f t="shared" si="9"/>
        <v>403.2716411227529</v>
      </c>
      <c r="O18" s="74">
        <f t="shared" si="9"/>
        <v>402.26346201994602</v>
      </c>
      <c r="P18" s="74">
        <f t="shared" si="9"/>
        <v>401.25780336489618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5058.5781269986301</v>
      </c>
      <c r="H19" s="53">
        <f>H15/(1+$C$55)^2</f>
        <v>6059.4143473712265</v>
      </c>
      <c r="I19" s="53">
        <f>I15/(1+$C$55)^3</f>
        <v>6621.5790787688202</v>
      </c>
      <c r="J19" s="53">
        <f>J15/(1+$C$55)^4</f>
        <v>7374.3725433018772</v>
      </c>
      <c r="K19" s="53">
        <f>K15/(1+$C$55)^5</f>
        <v>6871.6285924671065</v>
      </c>
      <c r="L19" s="53">
        <f>L15/(1+$C$55)^6</f>
        <v>6505.5030133536657</v>
      </c>
      <c r="M19" s="53">
        <f>M15/(1+$C$55)^7</f>
        <v>6157.789969697943</v>
      </c>
      <c r="N19" s="53">
        <f>N15/(1+$C$55)^8</f>
        <v>5772.0965330271492</v>
      </c>
      <c r="O19" s="53">
        <f>O15/(1+$C$55)^9</f>
        <v>5357.5308533864008</v>
      </c>
      <c r="P19" s="53">
        <f>P15/(1+$C$55)^10</f>
        <v>4923.5112989473009</v>
      </c>
      <c r="Q19" s="54">
        <f>(Q15/(C55-Q12))/(1+C55)^10</f>
        <v>61974.573087112367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3.5000000000000003E-2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5.9500000000000004E-2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96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9.4500000000000001E-2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9.4500000000000001E-2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9.4500000000000001E-2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44870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192379.10399999999</v>
      </c>
      <c r="D49" s="47">
        <f>SUM(G19:Q19)</f>
        <v>122676.57744443248</v>
      </c>
      <c r="E49" s="46" t="s">
        <v>41</v>
      </c>
    </row>
    <row r="50" spans="1:17" x14ac:dyDescent="0.25">
      <c r="A50" s="45"/>
      <c r="B50" s="46" t="s">
        <v>11</v>
      </c>
      <c r="C50" s="56">
        <v>410.4</v>
      </c>
      <c r="D50" s="56">
        <f>C50</f>
        <v>410.4</v>
      </c>
      <c r="E50" s="46"/>
    </row>
    <row r="51" spans="1:17" x14ac:dyDescent="0.25">
      <c r="A51" s="45"/>
      <c r="B51" s="46" t="s">
        <v>13</v>
      </c>
      <c r="C51" s="89">
        <v>468.76</v>
      </c>
      <c r="D51" s="56">
        <f>D49/(D50)</f>
        <v>298.91953568331502</v>
      </c>
      <c r="E51" s="46" t="s">
        <v>41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0.56818121280845091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9.4500000000000001E-2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99368987.860098839</v>
      </c>
      <c r="E57" s="46"/>
      <c r="F57" s="1" t="s">
        <v>23</v>
      </c>
      <c r="H57" s="1">
        <f>G15/(1+$B$57)</f>
        <v>4996.9438267148016</v>
      </c>
      <c r="I57" s="1">
        <f>H15/(1+$B$57)^2</f>
        <v>5912.6566747904953</v>
      </c>
      <c r="J57" s="1">
        <f>I15/(1+$B$57)^3</f>
        <v>6382.4818218644505</v>
      </c>
      <c r="K57" s="1">
        <f>J15/(1+$B$57)^4</f>
        <v>7021.4869956941438</v>
      </c>
      <c r="L57" s="1">
        <f>K15/(1+$B$57)^5</f>
        <v>6463.0825894032696</v>
      </c>
      <c r="M57" s="1">
        <f>L15/(1+$B$57)^6</f>
        <v>6044.1734029487388</v>
      </c>
      <c r="N57" s="1">
        <f>M15/(1+$B$57)^7</f>
        <v>5651.4112323600129</v>
      </c>
      <c r="O57" s="1">
        <f>N15/(1+$B$57)^8</f>
        <v>5232.8902912573421</v>
      </c>
      <c r="P57" s="1">
        <f>O15/(1+$B$57)^9</f>
        <v>4797.8728054948378</v>
      </c>
      <c r="Q57" s="1">
        <f>(Q15/(B57-Q12))/(1+B57)^10</f>
        <v>46865.988219570754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43</v>
      </c>
      <c r="B59" s="23"/>
      <c r="C59" s="69">
        <v>17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514.58607290460429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0.3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75.312591423824585</v>
      </c>
    </row>
    <row r="67" spans="1:5" x14ac:dyDescent="0.25">
      <c r="A67" s="25"/>
      <c r="E67" s="61"/>
    </row>
    <row r="68" spans="1:5" x14ac:dyDescent="0.25">
      <c r="A68" s="62" t="s">
        <v>48</v>
      </c>
      <c r="E68" s="63">
        <f>(E66*0.25)*-1</f>
        <v>-18.828147855956146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44</v>
      </c>
      <c r="E70" s="60">
        <f>SUM(E62:E68)</f>
        <v>571.07051647247272</v>
      </c>
    </row>
    <row r="71" spans="1:5" x14ac:dyDescent="0.25">
      <c r="A71" s="25"/>
      <c r="E71" s="60"/>
    </row>
    <row r="72" spans="1:5" x14ac:dyDescent="0.25">
      <c r="A72" s="25" t="s">
        <v>45</v>
      </c>
      <c r="E72" s="64">
        <f>E70/C51-1</f>
        <v>0.21825777897532372</v>
      </c>
    </row>
    <row r="73" spans="1:5" x14ac:dyDescent="0.25">
      <c r="A73" s="25"/>
      <c r="E73" s="26"/>
    </row>
    <row r="74" spans="1:5" ht="16.5" thickBot="1" x14ac:dyDescent="0.3">
      <c r="A74" s="65" t="s">
        <v>46</v>
      </c>
      <c r="B74" s="66"/>
      <c r="C74" s="66"/>
      <c r="D74" s="66"/>
      <c r="E74" s="104">
        <f>(E70/C51)^(1/10)-1</f>
        <v>1.9938344406559949E-2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zoomScaleNormal="100" workbookViewId="0"/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47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42</v>
      </c>
    </row>
    <row r="11" spans="1:28" x14ac:dyDescent="0.25">
      <c r="A11" s="5"/>
      <c r="B11" s="4" t="s">
        <v>4</v>
      </c>
      <c r="C11" s="84">
        <v>10944</v>
      </c>
      <c r="D11" s="84">
        <v>11820</v>
      </c>
      <c r="E11" s="84">
        <v>13978.5</v>
      </c>
      <c r="F11" s="84">
        <v>18611</v>
      </c>
      <c r="G11" s="74">
        <v>21099.9</v>
      </c>
      <c r="H11" s="74">
        <v>24969.919999999998</v>
      </c>
      <c r="I11" s="74">
        <v>27960.65</v>
      </c>
      <c r="J11" s="74">
        <v>32571.55</v>
      </c>
      <c r="K11" s="74">
        <f>J11*(1+K12)</f>
        <v>37131.567000000003</v>
      </c>
      <c r="L11" s="74">
        <f>K11*(1+L12)</f>
        <v>41587.355040000009</v>
      </c>
      <c r="M11" s="74">
        <f t="shared" ref="M11:Q11" si="0">L11*(1+M12)</f>
        <v>45746.090544000013</v>
      </c>
      <c r="N11" s="74">
        <f t="shared" si="0"/>
        <v>49405.777787520019</v>
      </c>
      <c r="O11" s="74">
        <f t="shared" si="0"/>
        <v>52864.182232646424</v>
      </c>
      <c r="P11" s="74">
        <f t="shared" si="0"/>
        <v>54978.749521952283</v>
      </c>
      <c r="Q11" s="74">
        <f t="shared" si="0"/>
        <v>56078.324512391329</v>
      </c>
    </row>
    <row r="12" spans="1:28" x14ac:dyDescent="0.25">
      <c r="A12" s="5"/>
      <c r="B12" s="4" t="s">
        <v>1</v>
      </c>
      <c r="C12" s="88"/>
      <c r="D12" s="91">
        <f t="shared" ref="D12" si="1">D11/C11-1</f>
        <v>8.0043859649122862E-2</v>
      </c>
      <c r="E12" s="91">
        <f t="shared" ref="E12" si="2">E11/D11-1</f>
        <v>0.18261421319796955</v>
      </c>
      <c r="F12" s="91">
        <f t="shared" ref="F12" si="3">F11/E11-1</f>
        <v>0.33140179561469396</v>
      </c>
      <c r="G12" s="87">
        <f t="shared" ref="G12" si="4">G11/F11-1</f>
        <v>0.13373273870291769</v>
      </c>
      <c r="H12" s="87">
        <f t="shared" ref="H12:J12" si="5">H11/G11-1</f>
        <v>0.18341413940350404</v>
      </c>
      <c r="I12" s="87">
        <f t="shared" si="5"/>
        <v>0.11977331124809387</v>
      </c>
      <c r="J12" s="87">
        <f t="shared" si="5"/>
        <v>0.16490675288306944</v>
      </c>
      <c r="K12" s="87">
        <v>0.14000000000000001</v>
      </c>
      <c r="L12" s="73">
        <v>0.12</v>
      </c>
      <c r="M12" s="73">
        <v>0.1</v>
      </c>
      <c r="N12" s="73">
        <v>0.08</v>
      </c>
      <c r="O12" s="73">
        <v>7.0000000000000007E-2</v>
      </c>
      <c r="P12" s="73">
        <v>0.04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0.27100000000000002</v>
      </c>
      <c r="D13" s="90">
        <v>0.2361</v>
      </c>
      <c r="E13" s="90">
        <v>0.2898</v>
      </c>
      <c r="F13" s="90">
        <v>0.35120000000000001</v>
      </c>
      <c r="G13" s="86">
        <v>0.30430000000000001</v>
      </c>
      <c r="H13" s="86">
        <v>0.3382</v>
      </c>
      <c r="I13" s="86">
        <v>0.3629</v>
      </c>
      <c r="J13" s="86">
        <v>0.38540000000000002</v>
      </c>
      <c r="K13" s="86">
        <v>0.39</v>
      </c>
      <c r="L13" s="86">
        <v>0.39</v>
      </c>
      <c r="M13" s="86">
        <v>0.39500000000000002</v>
      </c>
      <c r="N13" s="86">
        <v>0.39500000000000002</v>
      </c>
      <c r="O13" s="86">
        <v>0.4</v>
      </c>
      <c r="P13" s="86">
        <v>0.4</v>
      </c>
      <c r="Q13" s="86">
        <v>0.4</v>
      </c>
    </row>
    <row r="14" spans="1:28" ht="17.100000000000001" customHeight="1" x14ac:dyDescent="0.25">
      <c r="A14" s="5"/>
      <c r="B14" s="4" t="s">
        <v>16</v>
      </c>
      <c r="C14" s="84">
        <f>C11*C13</f>
        <v>2965.8240000000001</v>
      </c>
      <c r="D14" s="84">
        <f t="shared" ref="D14:J14" si="6">D11*D13</f>
        <v>2790.7020000000002</v>
      </c>
      <c r="E14" s="84">
        <f t="shared" si="6"/>
        <v>4050.9693000000002</v>
      </c>
      <c r="F14" s="84">
        <f t="shared" si="6"/>
        <v>6536.1832000000004</v>
      </c>
      <c r="G14" s="74">
        <f t="shared" si="6"/>
        <v>6420.6995700000007</v>
      </c>
      <c r="H14" s="74">
        <f t="shared" si="6"/>
        <v>8444.8269439999985</v>
      </c>
      <c r="I14" s="74">
        <f t="shared" si="6"/>
        <v>10146.919885000001</v>
      </c>
      <c r="J14" s="74">
        <f t="shared" si="6"/>
        <v>12553.07537</v>
      </c>
      <c r="K14" s="74">
        <f t="shared" ref="K14:Q14" si="7">K11*K13</f>
        <v>14481.311130000002</v>
      </c>
      <c r="L14" s="74">
        <f t="shared" si="7"/>
        <v>16219.068465600005</v>
      </c>
      <c r="M14" s="74">
        <f t="shared" si="7"/>
        <v>18069.705764880007</v>
      </c>
      <c r="N14" s="74">
        <f t="shared" si="7"/>
        <v>19515.282226070409</v>
      </c>
      <c r="O14" s="74">
        <f>O11*O13</f>
        <v>21145.67289305857</v>
      </c>
      <c r="P14" s="74">
        <f t="shared" si="7"/>
        <v>21991.499808780914</v>
      </c>
      <c r="Q14" s="74">
        <f t="shared" si="7"/>
        <v>22431.329804956535</v>
      </c>
    </row>
    <row r="15" spans="1:28" x14ac:dyDescent="0.25">
      <c r="A15" s="102">
        <v>0.15</v>
      </c>
      <c r="B15" s="4" t="s">
        <v>39</v>
      </c>
      <c r="C15" s="84">
        <v>2591.5392000000002</v>
      </c>
      <c r="D15" s="84">
        <v>2592.1259999999997</v>
      </c>
      <c r="E15" s="84">
        <v>3553.3346999999999</v>
      </c>
      <c r="F15" s="84">
        <v>5882.9371000000001</v>
      </c>
      <c r="G15" s="74">
        <v>5536.6137600000011</v>
      </c>
      <c r="H15" s="74">
        <v>7258.755744</v>
      </c>
      <c r="I15" s="74">
        <v>8681.781825</v>
      </c>
      <c r="J15" s="74">
        <v>10582.496595000001</v>
      </c>
      <c r="K15" s="74">
        <f>K14*(1-$A$15)</f>
        <v>12309.114460500001</v>
      </c>
      <c r="L15" s="74">
        <f t="shared" ref="L15:Q15" si="8">L14*(1-$A$15)</f>
        <v>13786.208195760004</v>
      </c>
      <c r="M15" s="74">
        <f t="shared" si="8"/>
        <v>15359.249900148006</v>
      </c>
      <c r="N15" s="74">
        <f t="shared" si="8"/>
        <v>16587.989892159847</v>
      </c>
      <c r="O15" s="74">
        <f>O14*(1-$A$15)</f>
        <v>17973.821959099783</v>
      </c>
      <c r="P15" s="74">
        <f t="shared" si="8"/>
        <v>18692.774837463778</v>
      </c>
      <c r="Q15" s="74">
        <f t="shared" si="8"/>
        <v>19066.630334213052</v>
      </c>
    </row>
    <row r="16" spans="1:28" ht="32.25" hidden="1" thickBot="1" x14ac:dyDescent="0.3">
      <c r="A16" s="13" t="s">
        <v>6</v>
      </c>
      <c r="B16" s="14"/>
      <c r="C16" s="15">
        <f t="shared" ref="C16:J16" si="9">C15/C14</f>
        <v>0.87380073800738012</v>
      </c>
      <c r="D16" s="15">
        <f t="shared" si="9"/>
        <v>0.92884371029224888</v>
      </c>
      <c r="E16" s="15">
        <f t="shared" si="9"/>
        <v>0.8771566597653554</v>
      </c>
      <c r="F16" s="15">
        <f t="shared" si="9"/>
        <v>0.90005694760820043</v>
      </c>
      <c r="G16" s="15">
        <f t="shared" si="9"/>
        <v>0.86230693394676317</v>
      </c>
      <c r="H16" s="15">
        <f t="shared" si="9"/>
        <v>0.85955056179775291</v>
      </c>
      <c r="I16" s="15">
        <f t="shared" si="9"/>
        <v>0.85560760540093683</v>
      </c>
      <c r="J16" s="15">
        <f t="shared" si="9"/>
        <v>0.84302023871302545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13.490774269005851</v>
      </c>
      <c r="H17" s="74">
        <f t="shared" ref="H17:O17" si="10">H15/H18</f>
        <v>17.775906197654944</v>
      </c>
      <c r="I17" s="74">
        <f t="shared" si="10"/>
        <v>21.367580762846234</v>
      </c>
      <c r="J17" s="74">
        <f t="shared" si="10"/>
        <v>26.17649792018771</v>
      </c>
      <c r="K17" s="74">
        <f t="shared" si="10"/>
        <v>30.600402223546599</v>
      </c>
      <c r="L17" s="74">
        <f t="shared" si="10"/>
        <v>34.444673859670552</v>
      </c>
      <c r="M17" s="74">
        <f t="shared" si="10"/>
        <v>38.567738157523145</v>
      </c>
      <c r="N17" s="74">
        <f t="shared" si="10"/>
        <v>41.862469557914572</v>
      </c>
      <c r="O17" s="74">
        <f t="shared" si="10"/>
        <v>45.587779329018346</v>
      </c>
      <c r="P17" s="74">
        <f>P15/P18</f>
        <v>47.649538193144814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410.4</v>
      </c>
      <c r="H18" s="74">
        <f>G18*0.995</f>
        <v>408.34799999999996</v>
      </c>
      <c r="I18" s="74">
        <f t="shared" ref="I18:P18" si="11">H18*0.995</f>
        <v>406.30625999999995</v>
      </c>
      <c r="J18" s="74">
        <f t="shared" si="11"/>
        <v>404.27472869999997</v>
      </c>
      <c r="K18" s="74">
        <f t="shared" si="11"/>
        <v>402.25335505649997</v>
      </c>
      <c r="L18" s="74">
        <f t="shared" si="11"/>
        <v>400.24208828121749</v>
      </c>
      <c r="M18" s="74">
        <f t="shared" si="11"/>
        <v>398.24087783981139</v>
      </c>
      <c r="N18" s="74">
        <f t="shared" si="11"/>
        <v>396.24967345061231</v>
      </c>
      <c r="O18" s="74">
        <f t="shared" si="11"/>
        <v>394.26842508335926</v>
      </c>
      <c r="P18" s="74">
        <f t="shared" si="11"/>
        <v>392.29708295794245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5058.5781269986301</v>
      </c>
      <c r="H19" s="53">
        <f>H15/(1+$C$55)^2</f>
        <v>6059.4143473712265</v>
      </c>
      <c r="I19" s="53">
        <f>I15/(1+$C$55)^3</f>
        <v>6621.5790787688202</v>
      </c>
      <c r="J19" s="53">
        <f>J15/(1+$C$55)^4</f>
        <v>7374.3725433018772</v>
      </c>
      <c r="K19" s="53">
        <f>K15/(1+$C$55)^5</f>
        <v>7836.9663247804319</v>
      </c>
      <c r="L19" s="53">
        <f>L15/(1+$C$55)^6</f>
        <v>8019.5543935624364</v>
      </c>
      <c r="M19" s="53">
        <f>M15/(1+$C$55)^7</f>
        <v>8163.1851190752805</v>
      </c>
      <c r="N19" s="53">
        <f>N15/(1+$C$55)^8</f>
        <v>8055.038765282141</v>
      </c>
      <c r="O19" s="53">
        <f>O15/(1+$C$55)^9</f>
        <v>7974.4096582816419</v>
      </c>
      <c r="P19" s="53">
        <f>P15/(1+$C$55)^10</f>
        <v>7577.3285012452334</v>
      </c>
      <c r="Q19" s="54">
        <f>(Q15/(C55-Q12))/(1+C55)^10</f>
        <v>103743.28954725018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3.5000000000000003E-2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5.9500000000000004E-2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9.4500000000000001E-2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9.4500000000000001E-2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9.4500000000000001E-2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44870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192379.10399999999</v>
      </c>
      <c r="D49" s="47">
        <f>SUM(G19:Q19)</f>
        <v>176483.71640591789</v>
      </c>
      <c r="E49" s="46" t="s">
        <v>41</v>
      </c>
    </row>
    <row r="50" spans="1:17" x14ac:dyDescent="0.25">
      <c r="A50" s="45"/>
      <c r="B50" s="46" t="s">
        <v>11</v>
      </c>
      <c r="C50" s="56">
        <v>410.4</v>
      </c>
      <c r="D50" s="56">
        <f>C50</f>
        <v>410.4</v>
      </c>
      <c r="E50" s="46"/>
    </row>
    <row r="51" spans="1:17" x14ac:dyDescent="0.25">
      <c r="A51" s="45"/>
      <c r="B51" s="46" t="s">
        <v>13</v>
      </c>
      <c r="C51" s="89">
        <v>468.76</v>
      </c>
      <c r="D51" s="56">
        <f>D49/(D50)</f>
        <v>430.02854874736329</v>
      </c>
      <c r="E51" s="46" t="s">
        <v>41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9.006716266968362E-2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9.4500000000000001E-2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138766412.95681962</v>
      </c>
      <c r="E57" s="46"/>
      <c r="F57" s="1" t="s">
        <v>23</v>
      </c>
      <c r="H57" s="1">
        <f>G15/(1+$B$57)</f>
        <v>4996.9438267148016</v>
      </c>
      <c r="I57" s="1">
        <f>H15/(1+$B$57)^2</f>
        <v>5912.6566747904953</v>
      </c>
      <c r="J57" s="1">
        <f>I15/(1+$B$57)^3</f>
        <v>6382.4818218644505</v>
      </c>
      <c r="K57" s="1">
        <f>J15/(1+$B$57)^4</f>
        <v>7021.4869956941438</v>
      </c>
      <c r="L57" s="1">
        <f>K15/(1+$B$57)^5</f>
        <v>7371.0271045430636</v>
      </c>
      <c r="M57" s="1">
        <f>L15/(1+$B$57)^6</f>
        <v>7450.857723003819</v>
      </c>
      <c r="N57" s="1">
        <f>M15/(1+$B$57)^7</f>
        <v>7491.8950306515781</v>
      </c>
      <c r="O57" s="1">
        <f>N15/(1+$B$57)^8</f>
        <v>7302.5691634509931</v>
      </c>
      <c r="P57" s="1">
        <f>O15/(1+$B$57)^9</f>
        <v>7141.3873828017749</v>
      </c>
      <c r="Q57" s="1">
        <f>(Q15/(B57-Q12))/(1+B57)^10</f>
        <v>77695.107233304516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43</v>
      </c>
      <c r="B59" s="23"/>
      <c r="C59" s="69">
        <v>26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1238.8879930217652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0.3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95.257008141153818</v>
      </c>
    </row>
    <row r="67" spans="1:5" x14ac:dyDescent="0.25">
      <c r="A67" s="25"/>
      <c r="E67" s="61"/>
    </row>
    <row r="68" spans="1:5" x14ac:dyDescent="0.25">
      <c r="A68" s="62" t="s">
        <v>48</v>
      </c>
      <c r="E68" s="63">
        <f>(E66*0.25)*-1</f>
        <v>-23.814252035288455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44</v>
      </c>
      <c r="E70" s="60">
        <f>SUM(E62:E68)</f>
        <v>1310.3307491276305</v>
      </c>
    </row>
    <row r="71" spans="1:5" x14ac:dyDescent="0.25">
      <c r="A71" s="25"/>
      <c r="E71" s="60"/>
    </row>
    <row r="72" spans="1:5" x14ac:dyDescent="0.25">
      <c r="A72" s="25" t="s">
        <v>45</v>
      </c>
      <c r="E72" s="64">
        <f>E70/C51-1</f>
        <v>1.7953126314694736</v>
      </c>
    </row>
    <row r="73" spans="1:5" x14ac:dyDescent="0.25">
      <c r="A73" s="25"/>
      <c r="E73" s="26"/>
    </row>
    <row r="74" spans="1:5" ht="16.5" thickBot="1" x14ac:dyDescent="0.3">
      <c r="A74" s="65" t="s">
        <v>46</v>
      </c>
      <c r="B74" s="66"/>
      <c r="C74" s="66"/>
      <c r="D74" s="66"/>
      <c r="E74" s="104">
        <f>(E70/C51)^(1/10)-1</f>
        <v>0.10826352159214103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2022-11-05T07:59:20Z</dcterms:modified>
</cp:coreProperties>
</file>