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A2A37970-2A3B-4820-B5AC-B1B7FCD9C9E9}" xr6:coauthVersionLast="44" xr6:coauthVersionMax="44" xr10:uidLastSave="{00000000-0000-0000-0000-000000000000}"/>
  <bookViews>
    <workbookView xWindow="-28920" yWindow="-120" windowWidth="29040" windowHeight="15840" activeTab="1" xr2:uid="{00000000-000D-0000-FFFF-FFFF00000000}"/>
  </bookViews>
  <sheets>
    <sheet name="Pessimistisch" sheetId="34" r:id="rId1"/>
    <sheet name="Optimistisch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34" l="1"/>
  <c r="J18" i="34"/>
  <c r="K18" i="34" s="1"/>
  <c r="L18" i="34" s="1"/>
  <c r="M18" i="34" s="1"/>
  <c r="N18" i="34" s="1"/>
  <c r="O18" i="34" s="1"/>
  <c r="P18" i="34" s="1"/>
  <c r="H18" i="34"/>
  <c r="I18" i="32"/>
  <c r="J18" i="32" s="1"/>
  <c r="K18" i="32" s="1"/>
  <c r="L18" i="32" s="1"/>
  <c r="M18" i="32" s="1"/>
  <c r="N18" i="32" s="1"/>
  <c r="O18" i="32" s="1"/>
  <c r="P18" i="32" s="1"/>
  <c r="H18" i="32"/>
  <c r="J12" i="34" l="1"/>
  <c r="J12" i="32"/>
  <c r="D14" i="34" l="1"/>
  <c r="E14" i="34"/>
  <c r="F14" i="34"/>
  <c r="G14" i="34"/>
  <c r="H14" i="34"/>
  <c r="I14" i="34"/>
  <c r="C14" i="34"/>
  <c r="K11" i="32" l="1"/>
  <c r="L11" i="32" s="1"/>
  <c r="M11" i="32" s="1"/>
  <c r="N11" i="32" s="1"/>
  <c r="O11" i="32" s="1"/>
  <c r="P11" i="32" s="1"/>
  <c r="Q11" i="32" s="1"/>
  <c r="D50" i="34" l="1"/>
  <c r="D50" i="32"/>
  <c r="G18" i="34"/>
  <c r="G18" i="32"/>
  <c r="G14" i="32" l="1"/>
  <c r="H14" i="32"/>
  <c r="I14" i="32"/>
  <c r="D14" i="32"/>
  <c r="E14" i="32"/>
  <c r="F14" i="32"/>
  <c r="C14" i="32"/>
  <c r="I25" i="32" l="1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J14" i="32" l="1"/>
  <c r="L14" i="32"/>
  <c r="L15" i="32" s="1"/>
  <c r="K14" i="32"/>
  <c r="K15" i="32" s="1"/>
  <c r="K57" i="32" l="1"/>
  <c r="J19" i="32"/>
  <c r="J17" i="32"/>
  <c r="J16" i="32"/>
  <c r="L19" i="32"/>
  <c r="L17" i="32"/>
  <c r="M57" i="32"/>
  <c r="K19" i="32"/>
  <c r="K17" i="32"/>
  <c r="L57" i="32"/>
  <c r="M14" i="32"/>
  <c r="M15" i="32" s="1"/>
  <c r="N57" i="32" l="1"/>
  <c r="M17" i="32"/>
  <c r="M19" i="32"/>
  <c r="N14" i="32"/>
  <c r="N15" i="32" s="1"/>
  <c r="O14" i="32"/>
  <c r="O15" i="32" s="1"/>
  <c r="O19" i="32" s="1"/>
  <c r="N19" i="32" l="1"/>
  <c r="N17" i="32"/>
  <c r="O57" i="32"/>
  <c r="Q14" i="32" l="1"/>
  <c r="Q15" i="32" s="1"/>
  <c r="P14" i="32"/>
  <c r="P15" i="32" s="1"/>
  <c r="P17" i="32" s="1"/>
  <c r="O17" i="32"/>
  <c r="P57" i="32"/>
  <c r="E62" i="32" l="1"/>
  <c r="E66" i="32"/>
  <c r="E68" i="32" s="1"/>
  <c r="Q57" i="32"/>
  <c r="D57" i="32" s="1"/>
  <c r="Q19" i="32"/>
  <c r="P19" i="32"/>
  <c r="D41" i="32"/>
  <c r="D43" i="32"/>
  <c r="D44" i="32"/>
  <c r="D40" i="32"/>
  <c r="D42" i="32"/>
  <c r="D49" i="32" l="1"/>
  <c r="D51" i="32" s="1"/>
  <c r="D52" i="32" s="1"/>
  <c r="E70" i="32"/>
  <c r="D53" i="32" l="1"/>
  <c r="E74" i="32"/>
  <c r="E72" i="32" l="1"/>
  <c r="K11" i="34" l="1"/>
  <c r="K14" i="34" l="1"/>
  <c r="K15" i="34" s="1"/>
  <c r="L11" i="34"/>
  <c r="J14" i="34"/>
  <c r="L14" i="34" l="1"/>
  <c r="L15" i="34" s="1"/>
  <c r="M11" i="34"/>
  <c r="K19" i="34"/>
  <c r="L57" i="34"/>
  <c r="K17" i="34"/>
  <c r="J17" i="34" l="1"/>
  <c r="K57" i="34"/>
  <c r="J19" i="34"/>
  <c r="J16" i="34"/>
  <c r="M14" i="34"/>
  <c r="M15" i="34" s="1"/>
  <c r="N11" i="34"/>
  <c r="M57" i="34"/>
  <c r="L17" i="34"/>
  <c r="L19" i="34"/>
  <c r="N14" i="34" l="1"/>
  <c r="N15" i="34" s="1"/>
  <c r="O11" i="34"/>
  <c r="M19" i="34"/>
  <c r="M17" i="34"/>
  <c r="N57" i="34"/>
  <c r="P11" i="34" l="1"/>
  <c r="O14" i="34"/>
  <c r="O15" i="34" s="1"/>
  <c r="N19" i="34"/>
  <c r="O57" i="34"/>
  <c r="N17" i="34"/>
  <c r="P57" i="34" l="1"/>
  <c r="O19" i="34"/>
  <c r="O17" i="34"/>
  <c r="Q11" i="34"/>
  <c r="Q14" i="34" s="1"/>
  <c r="Q15" i="34" s="1"/>
  <c r="P14" i="34"/>
  <c r="P15" i="34" s="1"/>
  <c r="D42" i="34" s="1"/>
  <c r="D43" i="34" l="1"/>
  <c r="D41" i="34"/>
  <c r="D44" i="34"/>
  <c r="D40" i="34"/>
  <c r="P19" i="34"/>
  <c r="P17" i="34"/>
  <c r="Q19" i="34"/>
  <c r="Q57" i="34"/>
  <c r="D57" i="34" s="1"/>
  <c r="D49" i="34" l="1"/>
  <c r="D51" i="34" s="1"/>
  <c r="D53" i="34" s="1"/>
  <c r="E62" i="34"/>
  <c r="E66" i="34"/>
  <c r="E68" i="34" s="1"/>
  <c r="D52" i="34" l="1"/>
  <c r="E70" i="34"/>
  <c r="E72" i="34" s="1"/>
  <c r="E74" i="34" l="1"/>
</calcChain>
</file>

<file path=xl/sharedStrings.xml><?xml version="1.0" encoding="utf-8"?>
<sst xmlns="http://schemas.openxmlformats.org/spreadsheetml/2006/main" count="99" uniqueCount="49">
  <si>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</si>
  <si>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</si>
  <si>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</si>
  <si>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</si>
  <si>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</si>
  <si>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</si>
  <si>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</si>
  <si>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</si>
  <si>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</si>
  <si>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</si>
  <si>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</si>
  <si>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</si>
  <si>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</si>
  <si>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</si>
  <si>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</si>
  <si>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</si>
  <si>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</si>
  <si>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</si>
  <si>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</si>
  <si>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</si>
  <si>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</si>
  <si>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</si>
  <si>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</si>
  <si>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</si>
  <si>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</si>
  <si>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</si>
  <si>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</si>
  <si>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</si>
  <si>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</si>
  <si>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</si>
  <si>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</si>
  <si>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</si>
  <si>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</si>
  <si>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</si>
  <si>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</si>
  <si>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</si>
  <si>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</si>
  <si>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</si>
  <si>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</si>
  <si>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</si>
  <si>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</si>
  <si>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2032ff.</t>
  </si>
  <si>
    <t>KGV Multiple in 2031</t>
  </si>
  <si>
    <t>Gesamtwert 2031</t>
  </si>
  <si>
    <t>Steigerung Gesamt bis 2031 in Prozent</t>
  </si>
  <si>
    <t>Renditeerwartung bis 2031 pro Jahr</t>
  </si>
  <si>
    <t xml:space="preserve"> Annahmen für Lotus</t>
  </si>
  <si>
    <t>Quellensteuer Belgien (25 %)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</si>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</sst>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3" fillId="2" borderId="0" xfId="1" applyNumberFormat="1" applyFont="1" applyFill="1" applyBorder="1"/>
    <xf numFmtId="3" fontId="5" fillId="2" borderId="0" xfId="0" applyNumberFormat="1" applyFont="1" applyFill="1"/>
    <xf numFmtId="165" fontId="5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5" fillId="2" borderId="0" xfId="0" applyNumberFormat="1" applyFont="1" applyFill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10" fontId="5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9" fillId="5" borderId="0" xfId="0" applyNumberFormat="1" applyFon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Alignment="1">
      <alignment horizontal="right"/>
    </xf>
    <xf numFmtId="0" fontId="10" fillId="2" borderId="7" xfId="0" applyFont="1" applyFill="1" applyBorder="1"/>
    <xf numFmtId="0" fontId="10" fillId="2" borderId="0" xfId="0" applyFont="1" applyFill="1"/>
    <xf numFmtId="10" fontId="10" fillId="2" borderId="0" xfId="0" applyNumberFormat="1" applyFont="1" applyFill="1"/>
    <xf numFmtId="9" fontId="9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zoomScaleNormal="100" workbookViewId="0">
      <selection activeCell="E52" sqref="E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46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41</v>
      </c>
    </row>
    <row r="11" spans="1:28" x14ac:dyDescent="0.25">
      <c r="A11" s="5"/>
      <c r="B11" s="4" t="s">
        <v>4</v>
      </c>
      <c r="C11" s="84">
        <v>556.44000000000005</v>
      </c>
      <c r="D11" s="84">
        <v>612.74</v>
      </c>
      <c r="E11" s="84">
        <v>663.29</v>
      </c>
      <c r="F11" s="84">
        <v>750.25</v>
      </c>
      <c r="G11" s="74">
        <v>852.81</v>
      </c>
      <c r="H11" s="74">
        <v>920.94</v>
      </c>
      <c r="I11" s="74">
        <v>1008.14</v>
      </c>
      <c r="J11" s="74">
        <v>1083.08</v>
      </c>
      <c r="K11" s="74">
        <f t="shared" ref="K11:Q11" si="0">J11*(1+K12)</f>
        <v>1169.7264</v>
      </c>
      <c r="L11" s="74">
        <f t="shared" si="0"/>
        <v>1251.607248</v>
      </c>
      <c r="M11" s="74">
        <f t="shared" si="0"/>
        <v>1326.7036828800001</v>
      </c>
      <c r="N11" s="74">
        <f t="shared" si="0"/>
        <v>1393.0388670240002</v>
      </c>
      <c r="O11" s="74">
        <f t="shared" si="0"/>
        <v>1448.7604217049602</v>
      </c>
      <c r="P11" s="74">
        <f t="shared" si="0"/>
        <v>1492.2232343561091</v>
      </c>
      <c r="Q11" s="74">
        <f t="shared" si="0"/>
        <v>1514.6065828714507</v>
      </c>
    </row>
    <row r="12" spans="1:28" x14ac:dyDescent="0.25">
      <c r="A12" s="5"/>
      <c r="B12" s="4" t="s">
        <v>1</v>
      </c>
      <c r="C12" s="88"/>
      <c r="D12" s="91">
        <f t="shared" ref="D12:J12" si="1">D11/C11-1</f>
        <v>0.1011789231543383</v>
      </c>
      <c r="E12" s="91">
        <f t="shared" si="1"/>
        <v>8.2498286385742636E-2</v>
      </c>
      <c r="F12" s="91">
        <f t="shared" si="1"/>
        <v>0.13110404197259129</v>
      </c>
      <c r="G12" s="87">
        <f t="shared" si="1"/>
        <v>0.13670109963345545</v>
      </c>
      <c r="H12" s="87">
        <f t="shared" si="1"/>
        <v>7.988883807647662E-2</v>
      </c>
      <c r="I12" s="87">
        <f t="shared" si="1"/>
        <v>9.4685864442851875E-2</v>
      </c>
      <c r="J12" s="87">
        <f t="shared" si="1"/>
        <v>7.4334913801654467E-2</v>
      </c>
      <c r="K12" s="87">
        <v>0.08</v>
      </c>
      <c r="L12" s="73">
        <v>7.0000000000000007E-2</v>
      </c>
      <c r="M12" s="73">
        <v>0.06</v>
      </c>
      <c r="N12" s="73">
        <v>0.05</v>
      </c>
      <c r="O12" s="73">
        <v>0.04</v>
      </c>
      <c r="P12" s="73">
        <v>0.03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90">
        <v>0.16689999999999999</v>
      </c>
      <c r="D13" s="90">
        <v>0.16350000000000001</v>
      </c>
      <c r="E13" s="90">
        <v>0.15709999999999999</v>
      </c>
      <c r="F13" s="90">
        <v>0.16020000000000001</v>
      </c>
      <c r="G13" s="86">
        <v>0.16320000000000001</v>
      </c>
      <c r="H13" s="86">
        <v>0.16850000000000001</v>
      </c>
      <c r="I13" s="86">
        <v>0.1714</v>
      </c>
      <c r="J13" s="86">
        <v>0.18</v>
      </c>
      <c r="K13" s="86">
        <v>0.16750000000000001</v>
      </c>
      <c r="L13" s="86">
        <v>0.16750000000000001</v>
      </c>
      <c r="M13" s="86">
        <v>0.16750000000000001</v>
      </c>
      <c r="N13" s="86">
        <v>0.17</v>
      </c>
      <c r="O13" s="86">
        <v>0.17</v>
      </c>
      <c r="P13" s="86">
        <v>0.17</v>
      </c>
      <c r="Q13" s="86">
        <v>0.17</v>
      </c>
    </row>
    <row r="14" spans="1:28" ht="17.100000000000001" customHeight="1" x14ac:dyDescent="0.25">
      <c r="A14" s="5"/>
      <c r="B14" s="4" t="s">
        <v>16</v>
      </c>
      <c r="C14" s="84">
        <f>C11*C13</f>
        <v>92.869836000000006</v>
      </c>
      <c r="D14" s="84">
        <f t="shared" ref="D14:I14" si="2">D11*D13</f>
        <v>100.18299</v>
      </c>
      <c r="E14" s="84">
        <f t="shared" si="2"/>
        <v>104.20285899999999</v>
      </c>
      <c r="F14" s="84">
        <f t="shared" si="2"/>
        <v>120.19005000000001</v>
      </c>
      <c r="G14" s="74">
        <f t="shared" si="2"/>
        <v>139.17859200000001</v>
      </c>
      <c r="H14" s="74">
        <f t="shared" si="2"/>
        <v>155.17839000000001</v>
      </c>
      <c r="I14" s="74">
        <f t="shared" si="2"/>
        <v>172.795196</v>
      </c>
      <c r="J14" s="74">
        <f>J11*J13</f>
        <v>194.95439999999999</v>
      </c>
      <c r="K14" s="74">
        <f t="shared" ref="K14:Q14" si="3">K11*K13</f>
        <v>195.92917200000002</v>
      </c>
      <c r="L14" s="74">
        <f t="shared" si="3"/>
        <v>209.64421404000001</v>
      </c>
      <c r="M14" s="74">
        <f t="shared" si="3"/>
        <v>222.22286688240004</v>
      </c>
      <c r="N14" s="74">
        <f t="shared" si="3"/>
        <v>236.81660739408005</v>
      </c>
      <c r="O14" s="74">
        <f t="shared" si="3"/>
        <v>246.28927168984325</v>
      </c>
      <c r="P14" s="74">
        <f t="shared" si="3"/>
        <v>253.67794984053856</v>
      </c>
      <c r="Q14" s="74">
        <f t="shared" si="3"/>
        <v>257.48311908814662</v>
      </c>
    </row>
    <row r="15" spans="1:28" x14ac:dyDescent="0.25">
      <c r="A15" s="102">
        <v>0.2</v>
      </c>
      <c r="B15" s="4" t="s">
        <v>39</v>
      </c>
      <c r="C15" s="84">
        <v>66.884088000000006</v>
      </c>
      <c r="D15" s="84">
        <v>74.938102000000001</v>
      </c>
      <c r="E15" s="84">
        <v>82.579605000000001</v>
      </c>
      <c r="F15" s="84">
        <v>90.780249999999995</v>
      </c>
      <c r="G15" s="74">
        <v>104.89563</v>
      </c>
      <c r="H15" s="74">
        <v>116.314722</v>
      </c>
      <c r="I15" s="74">
        <v>131.259828</v>
      </c>
      <c r="J15" s="74">
        <v>149.248424</v>
      </c>
      <c r="K15" s="74">
        <f t="shared" ref="K15:Q15" si="4">K14*(1-$A$15)</f>
        <v>156.74333760000002</v>
      </c>
      <c r="L15" s="74">
        <f t="shared" si="4"/>
        <v>167.71537123200002</v>
      </c>
      <c r="M15" s="74">
        <f t="shared" si="4"/>
        <v>177.77829350592003</v>
      </c>
      <c r="N15" s="74">
        <f t="shared" si="4"/>
        <v>189.45328591526405</v>
      </c>
      <c r="O15" s="74">
        <f t="shared" si="4"/>
        <v>197.03141735187461</v>
      </c>
      <c r="P15" s="74">
        <f t="shared" si="4"/>
        <v>202.94235987243087</v>
      </c>
      <c r="Q15" s="74">
        <f t="shared" si="4"/>
        <v>205.98649527051731</v>
      </c>
    </row>
    <row r="16" spans="1:28" ht="32.25" hidden="1" thickBot="1" x14ac:dyDescent="0.3">
      <c r="A16" s="13" t="s">
        <v>6</v>
      </c>
      <c r="B16" s="14"/>
      <c r="C16" s="15">
        <f t="shared" ref="C16:J16" si="5">C15/C14</f>
        <v>0.72019173157579386</v>
      </c>
      <c r="D16" s="15">
        <f t="shared" si="5"/>
        <v>0.74801223241590209</v>
      </c>
      <c r="E16" s="15">
        <f t="shared" si="5"/>
        <v>0.79248886059834511</v>
      </c>
      <c r="F16" s="15">
        <f t="shared" si="5"/>
        <v>0.75530586766541807</v>
      </c>
      <c r="G16" s="15">
        <f t="shared" si="5"/>
        <v>0.75367647058823517</v>
      </c>
      <c r="H16" s="15">
        <f t="shared" si="5"/>
        <v>0.7495548961424332</v>
      </c>
      <c r="I16" s="15">
        <f t="shared" si="5"/>
        <v>0.75962660443407237</v>
      </c>
      <c r="J16" s="15">
        <f t="shared" si="5"/>
        <v>0.76555555555555554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128.54856617647059</v>
      </c>
      <c r="H17" s="74">
        <f t="shared" ref="H17:P17" si="6">H15/H18</f>
        <v>142.54255147058825</v>
      </c>
      <c r="I17" s="74">
        <f t="shared" si="6"/>
        <v>160.85763235294118</v>
      </c>
      <c r="J17" s="74">
        <f t="shared" si="6"/>
        <v>182.90248039215686</v>
      </c>
      <c r="K17" s="74">
        <f t="shared" si="6"/>
        <v>192.08742352941181</v>
      </c>
      <c r="L17" s="74">
        <f t="shared" si="6"/>
        <v>205.53354317647063</v>
      </c>
      <c r="M17" s="74">
        <f t="shared" si="6"/>
        <v>217.86555576705888</v>
      </c>
      <c r="N17" s="74">
        <f t="shared" si="6"/>
        <v>232.17314450400008</v>
      </c>
      <c r="O17" s="74">
        <f t="shared" si="6"/>
        <v>241.46007028416008</v>
      </c>
      <c r="P17" s="74">
        <f t="shared" si="6"/>
        <v>248.7038723926849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0.81599999999999995</v>
      </c>
      <c r="H18" s="74">
        <f>G18*1</f>
        <v>0.81599999999999995</v>
      </c>
      <c r="I18" s="74">
        <f t="shared" ref="I18:P18" si="7">H18*1</f>
        <v>0.81599999999999995</v>
      </c>
      <c r="J18" s="74">
        <f t="shared" si="7"/>
        <v>0.81599999999999995</v>
      </c>
      <c r="K18" s="74">
        <f t="shared" si="7"/>
        <v>0.81599999999999995</v>
      </c>
      <c r="L18" s="74">
        <f t="shared" si="7"/>
        <v>0.81599999999999995</v>
      </c>
      <c r="M18" s="74">
        <f t="shared" si="7"/>
        <v>0.81599999999999995</v>
      </c>
      <c r="N18" s="74">
        <f t="shared" si="7"/>
        <v>0.81599999999999995</v>
      </c>
      <c r="O18" s="74">
        <f t="shared" si="7"/>
        <v>0.81599999999999995</v>
      </c>
      <c r="P18" s="74">
        <f t="shared" si="7"/>
        <v>0.81599999999999995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96.146315307057748</v>
      </c>
      <c r="H19" s="53">
        <f>H15/(1+$C$55)^2</f>
        <v>97.720388714933705</v>
      </c>
      <c r="I19" s="53">
        <f>I15/(1+$C$55)^3</f>
        <v>101.07821854089896</v>
      </c>
      <c r="J19" s="53">
        <f>J15/(1+$C$55)^4</f>
        <v>105.34422962222128</v>
      </c>
      <c r="K19" s="53">
        <f>K15/(1+$C$55)^5</f>
        <v>101.40639345620963</v>
      </c>
      <c r="L19" s="53">
        <f>L15/(1+$C$55)^6</f>
        <v>99.454483041378836</v>
      </c>
      <c r="M19" s="53">
        <f>M15/(1+$C$55)^7</f>
        <v>96.62855364240292</v>
      </c>
      <c r="N19" s="53">
        <f>N15/(1+$C$55)^8</f>
        <v>94.385251516034415</v>
      </c>
      <c r="O19" s="53">
        <f>O15/(1+$C$55)^9</f>
        <v>89.973108686228969</v>
      </c>
      <c r="P19" s="53">
        <f>P15/(1+$C$55)^10</f>
        <v>84.942531573616719</v>
      </c>
      <c r="Q19" s="54">
        <f>(Q15/(C55-Q12))/(1+C55)^10</f>
        <v>1134.4298624634334</v>
      </c>
    </row>
    <row r="20" spans="1:18" x14ac:dyDescent="0.25">
      <c r="A20" s="2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92" t="s">
        <v>25</v>
      </c>
      <c r="H23" s="93"/>
      <c r="I23" s="94">
        <v>3.5000000000000003E-2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95"/>
      <c r="H24" s="6"/>
      <c r="I24" s="96"/>
      <c r="J24" s="26"/>
    </row>
    <row r="25" spans="1:18" x14ac:dyDescent="0.25">
      <c r="A25" s="35"/>
      <c r="B25" s="36"/>
      <c r="C25" s="36"/>
      <c r="D25" s="38"/>
      <c r="F25" s="36"/>
      <c r="G25" s="95" t="s">
        <v>27</v>
      </c>
      <c r="H25" s="6"/>
      <c r="I25" s="97">
        <f>(I27-I23)*I29</f>
        <v>5.6000000000000008E-2</v>
      </c>
      <c r="J25" s="26"/>
    </row>
    <row r="26" spans="1:18" x14ac:dyDescent="0.25">
      <c r="A26" s="35"/>
      <c r="B26" s="36"/>
      <c r="C26" s="36"/>
      <c r="D26" s="38"/>
      <c r="F26" s="36"/>
      <c r="G26" s="95"/>
      <c r="H26" s="6"/>
      <c r="I26" s="96"/>
      <c r="J26" s="26"/>
    </row>
    <row r="27" spans="1:18" x14ac:dyDescent="0.25">
      <c r="A27" s="35"/>
      <c r="B27" s="36"/>
      <c r="C27" s="36"/>
      <c r="D27" s="38"/>
      <c r="F27" s="36"/>
      <c r="G27" s="95" t="s">
        <v>28</v>
      </c>
      <c r="H27" s="6"/>
      <c r="I27" s="98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95"/>
      <c r="H28" s="6"/>
      <c r="I28" s="96"/>
      <c r="J28" s="26"/>
    </row>
    <row r="29" spans="1:18" x14ac:dyDescent="0.25">
      <c r="A29" s="35"/>
      <c r="B29" s="36"/>
      <c r="C29" s="36"/>
      <c r="D29" s="39"/>
      <c r="F29" s="36"/>
      <c r="G29" s="95" t="s">
        <v>35</v>
      </c>
      <c r="H29" s="6"/>
      <c r="I29" s="96">
        <v>1.6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95"/>
      <c r="H30" s="6"/>
      <c r="I30" s="96"/>
      <c r="J30" s="26"/>
    </row>
    <row r="31" spans="1:18" x14ac:dyDescent="0.25">
      <c r="A31" s="35"/>
      <c r="B31" s="36"/>
      <c r="C31" s="36"/>
      <c r="D31" s="37"/>
      <c r="F31" s="36"/>
      <c r="G31" s="95" t="s">
        <v>31</v>
      </c>
      <c r="H31" s="6"/>
      <c r="I31" s="98">
        <f>I23+(I27-I23)*I29</f>
        <v>9.1000000000000011E-2</v>
      </c>
      <c r="J31" s="26" t="s">
        <v>32</v>
      </c>
    </row>
    <row r="32" spans="1:18" x14ac:dyDescent="0.25">
      <c r="A32" s="25"/>
      <c r="C32" s="41"/>
      <c r="E32" s="36"/>
      <c r="F32" s="36"/>
      <c r="G32" s="95"/>
      <c r="H32" s="6"/>
      <c r="I32" s="6"/>
      <c r="J32" s="26"/>
    </row>
    <row r="33" spans="1:10" x14ac:dyDescent="0.25">
      <c r="A33" s="25"/>
      <c r="G33" s="99" t="s">
        <v>34</v>
      </c>
      <c r="H33" s="100"/>
      <c r="I33" s="101">
        <f>I31</f>
        <v>9.1000000000000011E-2</v>
      </c>
      <c r="J33" s="26"/>
    </row>
    <row r="34" spans="1:10" x14ac:dyDescent="0.25">
      <c r="A34" s="35" t="s">
        <v>7</v>
      </c>
      <c r="B34" s="36"/>
      <c r="C34" s="42"/>
      <c r="D34" s="27"/>
      <c r="G34" s="95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9.1000000000000011E-2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44891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5059.2</v>
      </c>
      <c r="D49" s="47">
        <f>SUM(G19:Q19)</f>
        <v>2101.5093365644166</v>
      </c>
      <c r="E49" s="46" t="s">
        <v>48</v>
      </c>
    </row>
    <row r="50" spans="1:17" x14ac:dyDescent="0.25">
      <c r="A50" s="45"/>
      <c r="B50" s="46" t="s">
        <v>11</v>
      </c>
      <c r="C50" s="56">
        <v>0.81599999999999995</v>
      </c>
      <c r="D50" s="56">
        <f>C50</f>
        <v>0.81599999999999995</v>
      </c>
      <c r="E50" s="46"/>
    </row>
    <row r="51" spans="1:17" x14ac:dyDescent="0.25">
      <c r="A51" s="45"/>
      <c r="B51" s="46" t="s">
        <v>13</v>
      </c>
      <c r="C51" s="89">
        <v>6200</v>
      </c>
      <c r="D51" s="56">
        <f>D49/(D50)</f>
        <v>2575.3790889269812</v>
      </c>
      <c r="E51" s="46" t="s">
        <v>48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1.4074125734177638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9.1000000000000011E-2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1612100.3723771924</v>
      </c>
      <c r="E57" s="46"/>
      <c r="F57" s="1" t="s">
        <v>23</v>
      </c>
      <c r="H57" s="1">
        <f>G15/(1+$B$57)</f>
        <v>94.671146209386265</v>
      </c>
      <c r="I57" s="1">
        <f>H15/(1+$B$57)^2</f>
        <v>94.744752635900355</v>
      </c>
      <c r="J57" s="1">
        <f>I15/(1+$B$57)^3</f>
        <v>96.496719571855209</v>
      </c>
      <c r="K57" s="1">
        <f>J15/(1+$B$57)^4</f>
        <v>99.026336444934685</v>
      </c>
      <c r="L57" s="1">
        <f>K15/(1+$B$57)^5</f>
        <v>93.862104671598999</v>
      </c>
      <c r="M57" s="1">
        <f>L15/(1+$B$57)^6</f>
        <v>90.643007218962936</v>
      </c>
      <c r="N57" s="1">
        <f>M15/(1+$B$57)^7</f>
        <v>86.716234343051184</v>
      </c>
      <c r="O57" s="1">
        <f>N15/(1+$B$57)^8</f>
        <v>83.403458323372107</v>
      </c>
      <c r="P57" s="1">
        <f>O15/(1+$B$57)^9</f>
        <v>78.284834527352871</v>
      </c>
      <c r="Q57" s="1">
        <f>(Q15/(B57-Q12))/(1+B57)^10</f>
        <v>794.25177843077768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42</v>
      </c>
      <c r="B59" s="23"/>
      <c r="C59" s="69">
        <v>20</v>
      </c>
      <c r="D59" s="23"/>
      <c r="E59" s="24"/>
    </row>
    <row r="60" spans="1:17" x14ac:dyDescent="0.25">
      <c r="A60" s="25" t="s">
        <v>21</v>
      </c>
      <c r="C60" s="70"/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4974.0774478536978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0.3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585.80245201378284</v>
      </c>
    </row>
    <row r="67" spans="1:5" x14ac:dyDescent="0.25">
      <c r="A67" s="25"/>
      <c r="E67" s="61"/>
    </row>
    <row r="68" spans="1:5" x14ac:dyDescent="0.25">
      <c r="A68" s="62" t="s">
        <v>47</v>
      </c>
      <c r="E68" s="63">
        <f>(E66*0.25)*-1</f>
        <v>-146.45061300344571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43</v>
      </c>
      <c r="E70" s="60">
        <f>SUM(E62:E68)</f>
        <v>5413.429286864035</v>
      </c>
    </row>
    <row r="71" spans="1:5" x14ac:dyDescent="0.25">
      <c r="A71" s="25"/>
      <c r="E71" s="60"/>
    </row>
    <row r="72" spans="1:5" x14ac:dyDescent="0.25">
      <c r="A72" s="25" t="s">
        <v>44</v>
      </c>
      <c r="E72" s="64">
        <f>E70/C51-1</f>
        <v>-0.12686624405418789</v>
      </c>
    </row>
    <row r="73" spans="1:5" x14ac:dyDescent="0.25">
      <c r="A73" s="25"/>
      <c r="E73" s="26"/>
    </row>
    <row r="74" spans="1:5" ht="16.5" thickBot="1" x14ac:dyDescent="0.3">
      <c r="A74" s="65" t="s">
        <v>45</v>
      </c>
      <c r="B74" s="66"/>
      <c r="C74" s="66"/>
      <c r="D74" s="66"/>
      <c r="E74" s="104">
        <f>(E70/C51)^(1/10)-1</f>
        <v>-1.3475039807967826E-2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K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abSelected="1" zoomScaleNormal="100" workbookViewId="0">
      <selection activeCell="A2" sqref="A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46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41</v>
      </c>
    </row>
    <row r="11" spans="1:28" x14ac:dyDescent="0.25">
      <c r="A11" s="5"/>
      <c r="B11" s="4" t="s">
        <v>4</v>
      </c>
      <c r="C11" s="84">
        <v>556.44000000000005</v>
      </c>
      <c r="D11" s="84">
        <v>612.74</v>
      </c>
      <c r="E11" s="84">
        <v>663.29</v>
      </c>
      <c r="F11" s="84">
        <v>750.25</v>
      </c>
      <c r="G11" s="74">
        <v>852.81</v>
      </c>
      <c r="H11" s="74">
        <v>920.94</v>
      </c>
      <c r="I11" s="74">
        <v>1008.14</v>
      </c>
      <c r="J11" s="74">
        <v>1083.08</v>
      </c>
      <c r="K11" s="74">
        <f t="shared" ref="K11:Q11" si="0">J11*(1+K12)</f>
        <v>1213.0496000000001</v>
      </c>
      <c r="L11" s="74">
        <f t="shared" si="0"/>
        <v>1370.746048</v>
      </c>
      <c r="M11" s="74">
        <f t="shared" si="0"/>
        <v>1521.5281132800001</v>
      </c>
      <c r="N11" s="74">
        <f t="shared" si="0"/>
        <v>1658.4656434752003</v>
      </c>
      <c r="O11" s="74">
        <f t="shared" si="0"/>
        <v>1774.5582385184643</v>
      </c>
      <c r="P11" s="74">
        <f t="shared" si="0"/>
        <v>1863.2861504443877</v>
      </c>
      <c r="Q11" s="74">
        <f t="shared" si="0"/>
        <v>1900.5518734532754</v>
      </c>
    </row>
    <row r="12" spans="1:28" x14ac:dyDescent="0.25">
      <c r="A12" s="5"/>
      <c r="B12" s="4" t="s">
        <v>1</v>
      </c>
      <c r="C12" s="88"/>
      <c r="D12" s="91">
        <f t="shared" ref="D12:J12" si="1">D11/C11-1</f>
        <v>0.1011789231543383</v>
      </c>
      <c r="E12" s="91">
        <f t="shared" si="1"/>
        <v>8.2498286385742636E-2</v>
      </c>
      <c r="F12" s="91">
        <f t="shared" si="1"/>
        <v>0.13110404197259129</v>
      </c>
      <c r="G12" s="87">
        <f t="shared" si="1"/>
        <v>0.13670109963345545</v>
      </c>
      <c r="H12" s="87">
        <f t="shared" si="1"/>
        <v>7.988883807647662E-2</v>
      </c>
      <c r="I12" s="87">
        <f t="shared" si="1"/>
        <v>9.4685864442851875E-2</v>
      </c>
      <c r="J12" s="87">
        <f t="shared" si="1"/>
        <v>7.4334913801654467E-2</v>
      </c>
      <c r="K12" s="87">
        <v>0.12</v>
      </c>
      <c r="L12" s="73">
        <v>0.13</v>
      </c>
      <c r="M12" s="73">
        <v>0.11</v>
      </c>
      <c r="N12" s="73">
        <v>0.09</v>
      </c>
      <c r="O12" s="73">
        <v>7.0000000000000007E-2</v>
      </c>
      <c r="P12" s="73">
        <v>0.05</v>
      </c>
      <c r="Q12" s="12">
        <v>0.02</v>
      </c>
    </row>
    <row r="13" spans="1:28" ht="15.95" customHeight="1" x14ac:dyDescent="0.25">
      <c r="A13" s="5"/>
      <c r="B13" s="4" t="s">
        <v>15</v>
      </c>
      <c r="C13" s="90">
        <v>0.16689999999999999</v>
      </c>
      <c r="D13" s="90">
        <v>0.16350000000000001</v>
      </c>
      <c r="E13" s="90">
        <v>0.15709999999999999</v>
      </c>
      <c r="F13" s="90">
        <v>0.16020000000000001</v>
      </c>
      <c r="G13" s="86">
        <v>0.16320000000000001</v>
      </c>
      <c r="H13" s="86">
        <v>0.16850000000000001</v>
      </c>
      <c r="I13" s="86">
        <v>0.1714</v>
      </c>
      <c r="J13" s="86">
        <v>0.18</v>
      </c>
      <c r="K13" s="86">
        <v>0.185</v>
      </c>
      <c r="L13" s="86">
        <v>0.19</v>
      </c>
      <c r="M13" s="86">
        <v>0.19</v>
      </c>
      <c r="N13" s="86">
        <v>0.19500000000000001</v>
      </c>
      <c r="O13" s="86">
        <v>0.19500000000000001</v>
      </c>
      <c r="P13" s="86">
        <v>0.2</v>
      </c>
      <c r="Q13" s="86">
        <v>0.2</v>
      </c>
    </row>
    <row r="14" spans="1:28" ht="17.100000000000001" customHeight="1" x14ac:dyDescent="0.25">
      <c r="A14" s="5"/>
      <c r="B14" s="4" t="s">
        <v>16</v>
      </c>
      <c r="C14" s="84">
        <f>C11*C13</f>
        <v>92.869836000000006</v>
      </c>
      <c r="D14" s="84">
        <f t="shared" ref="D14:J14" si="2">D11*D13</f>
        <v>100.18299</v>
      </c>
      <c r="E14" s="84">
        <f t="shared" si="2"/>
        <v>104.20285899999999</v>
      </c>
      <c r="F14" s="84">
        <f t="shared" si="2"/>
        <v>120.19005000000001</v>
      </c>
      <c r="G14" s="74">
        <f t="shared" si="2"/>
        <v>139.17859200000001</v>
      </c>
      <c r="H14" s="74">
        <f t="shared" si="2"/>
        <v>155.17839000000001</v>
      </c>
      <c r="I14" s="74">
        <f t="shared" si="2"/>
        <v>172.795196</v>
      </c>
      <c r="J14" s="74">
        <f t="shared" si="2"/>
        <v>194.95439999999999</v>
      </c>
      <c r="K14" s="74">
        <f t="shared" ref="K14:Q14" si="3">K11*K13</f>
        <v>224.414176</v>
      </c>
      <c r="L14" s="74">
        <f t="shared" si="3"/>
        <v>260.44174912</v>
      </c>
      <c r="M14" s="74">
        <f t="shared" si="3"/>
        <v>289.09034152320004</v>
      </c>
      <c r="N14" s="74">
        <f t="shared" si="3"/>
        <v>323.40080047766406</v>
      </c>
      <c r="O14" s="74">
        <f>O11*O13</f>
        <v>346.03885651110056</v>
      </c>
      <c r="P14" s="74">
        <f t="shared" si="3"/>
        <v>372.65723008887755</v>
      </c>
      <c r="Q14" s="74">
        <f t="shared" si="3"/>
        <v>380.11037469065514</v>
      </c>
    </row>
    <row r="15" spans="1:28" x14ac:dyDescent="0.25">
      <c r="A15" s="102">
        <v>0.2</v>
      </c>
      <c r="B15" s="4" t="s">
        <v>39</v>
      </c>
      <c r="C15" s="84">
        <v>66.884088000000006</v>
      </c>
      <c r="D15" s="84">
        <v>74.938102000000001</v>
      </c>
      <c r="E15" s="84">
        <v>82.579605000000001</v>
      </c>
      <c r="F15" s="84">
        <v>90.780249999999995</v>
      </c>
      <c r="G15" s="74">
        <v>104.89563</v>
      </c>
      <c r="H15" s="74">
        <v>116.314722</v>
      </c>
      <c r="I15" s="74">
        <v>131.259828</v>
      </c>
      <c r="J15" s="74">
        <v>149.248424</v>
      </c>
      <c r="K15" s="74">
        <f>K14*(1-$A$15)</f>
        <v>179.53134080000001</v>
      </c>
      <c r="L15" s="74">
        <f t="shared" ref="L15:Q15" si="4">L14*(1-$A$15)</f>
        <v>208.35339929600002</v>
      </c>
      <c r="M15" s="74">
        <f t="shared" si="4"/>
        <v>231.27227321856003</v>
      </c>
      <c r="N15" s="74">
        <f t="shared" si="4"/>
        <v>258.72064038213125</v>
      </c>
      <c r="O15" s="74">
        <f>O14*(1-$A$15)</f>
        <v>276.83108520888044</v>
      </c>
      <c r="P15" s="74">
        <f t="shared" si="4"/>
        <v>298.12578407110203</v>
      </c>
      <c r="Q15" s="74">
        <f t="shared" si="4"/>
        <v>304.08829975252411</v>
      </c>
    </row>
    <row r="16" spans="1:28" ht="32.25" hidden="1" thickBot="1" x14ac:dyDescent="0.3">
      <c r="A16" s="13" t="s">
        <v>6</v>
      </c>
      <c r="B16" s="14"/>
      <c r="C16" s="15">
        <f t="shared" ref="C16:J16" si="5">C15/C14</f>
        <v>0.72019173157579386</v>
      </c>
      <c r="D16" s="15">
        <f t="shared" si="5"/>
        <v>0.74801223241590209</v>
      </c>
      <c r="E16" s="15">
        <f t="shared" si="5"/>
        <v>0.79248886059834511</v>
      </c>
      <c r="F16" s="15">
        <f t="shared" si="5"/>
        <v>0.75530586766541807</v>
      </c>
      <c r="G16" s="15">
        <f t="shared" si="5"/>
        <v>0.75367647058823517</v>
      </c>
      <c r="H16" s="15">
        <f t="shared" si="5"/>
        <v>0.7495548961424332</v>
      </c>
      <c r="I16" s="15">
        <f t="shared" si="5"/>
        <v>0.75962660443407237</v>
      </c>
      <c r="J16" s="15">
        <f t="shared" si="5"/>
        <v>0.76555555555555554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128.54856617647059</v>
      </c>
      <c r="H17" s="74">
        <f t="shared" ref="H17:O17" si="6">H15/H18</f>
        <v>142.54255147058825</v>
      </c>
      <c r="I17" s="74">
        <f t="shared" si="6"/>
        <v>160.85763235294118</v>
      </c>
      <c r="J17" s="74">
        <f t="shared" si="6"/>
        <v>182.90248039215686</v>
      </c>
      <c r="K17" s="74">
        <f t="shared" si="6"/>
        <v>220.01389803921572</v>
      </c>
      <c r="L17" s="74">
        <f t="shared" si="6"/>
        <v>255.3350481568628</v>
      </c>
      <c r="M17" s="74">
        <f t="shared" si="6"/>
        <v>283.42190345411768</v>
      </c>
      <c r="N17" s="74">
        <f t="shared" si="6"/>
        <v>317.0596083114354</v>
      </c>
      <c r="O17" s="74">
        <f t="shared" si="6"/>
        <v>339.25378089323584</v>
      </c>
      <c r="P17" s="74">
        <f>P15/P18</f>
        <v>365.35022557733095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0.81599999999999995</v>
      </c>
      <c r="H18" s="74">
        <f>G18*1</f>
        <v>0.81599999999999995</v>
      </c>
      <c r="I18" s="74">
        <f t="shared" ref="I18:P18" si="7">H18*1</f>
        <v>0.81599999999999995</v>
      </c>
      <c r="J18" s="74">
        <f t="shared" si="7"/>
        <v>0.81599999999999995</v>
      </c>
      <c r="K18" s="74">
        <f t="shared" si="7"/>
        <v>0.81599999999999995</v>
      </c>
      <c r="L18" s="74">
        <f t="shared" si="7"/>
        <v>0.81599999999999995</v>
      </c>
      <c r="M18" s="74">
        <f t="shared" si="7"/>
        <v>0.81599999999999995</v>
      </c>
      <c r="N18" s="74">
        <f t="shared" si="7"/>
        <v>0.81599999999999995</v>
      </c>
      <c r="O18" s="74">
        <f t="shared" si="7"/>
        <v>0.81599999999999995</v>
      </c>
      <c r="P18" s="74">
        <f t="shared" si="7"/>
        <v>0.81599999999999995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96.146315307057748</v>
      </c>
      <c r="H19" s="53">
        <f>H15/(1+$C$55)^2</f>
        <v>97.720388714933705</v>
      </c>
      <c r="I19" s="53">
        <f>I15/(1+$C$55)^3</f>
        <v>101.07821854089896</v>
      </c>
      <c r="J19" s="53">
        <f>J15/(1+$C$55)^4</f>
        <v>105.34422962222128</v>
      </c>
      <c r="K19" s="53">
        <f>K15/(1+$C$55)^5</f>
        <v>116.14927984591837</v>
      </c>
      <c r="L19" s="53">
        <f>L15/(1+$C$55)^6</f>
        <v>123.55265629310415</v>
      </c>
      <c r="M19" s="53">
        <f>M15/(1+$C$55)^7</f>
        <v>125.7043524155322</v>
      </c>
      <c r="N19" s="53">
        <f>N15/(1+$C$55)^8</f>
        <v>128.89411021236609</v>
      </c>
      <c r="O19" s="53">
        <f>O15/(1+$C$55)^9</f>
        <v>126.41310534118399</v>
      </c>
      <c r="P19" s="53">
        <f>P15/(1+$C$55)^10</f>
        <v>124.78202600130973</v>
      </c>
      <c r="Q19" s="54">
        <f>(Q15/(C55-Q12))/(1+C55)^10</f>
        <v>1792.643190441351</v>
      </c>
    </row>
    <row r="20" spans="1:18" x14ac:dyDescent="0.2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80">
        <v>3.5000000000000003E-2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2">
        <f>(I27-I23)*I29</f>
        <v>5.6000000000000008E-2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1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3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81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81">
        <v>1.6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81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3">
        <f>I23+(I27-I23)*I29</f>
        <v>9.1000000000000011E-2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8" t="s">
        <v>34</v>
      </c>
      <c r="H33" s="22"/>
      <c r="I33" s="79">
        <f>I31</f>
        <v>9.1000000000000011E-2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9.1000000000000011E-2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44891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5059.2</v>
      </c>
      <c r="D49" s="47">
        <f>SUM(G19:Q19)</f>
        <v>2938.4278727358769</v>
      </c>
      <c r="E49" s="46" t="s">
        <v>48</v>
      </c>
    </row>
    <row r="50" spans="1:17" x14ac:dyDescent="0.25">
      <c r="A50" s="45"/>
      <c r="B50" s="46" t="s">
        <v>11</v>
      </c>
      <c r="C50" s="56">
        <v>0.81599999999999995</v>
      </c>
      <c r="D50" s="56">
        <f>C50</f>
        <v>0.81599999999999995</v>
      </c>
      <c r="E50" s="46"/>
    </row>
    <row r="51" spans="1:17" x14ac:dyDescent="0.25">
      <c r="A51" s="45"/>
      <c r="B51" s="46" t="s">
        <v>13</v>
      </c>
      <c r="C51" s="89">
        <v>6200</v>
      </c>
      <c r="D51" s="56">
        <f>D49/(D50)</f>
        <v>3601.0145499214182</v>
      </c>
      <c r="E51" s="46" t="s">
        <v>48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0.7217370032940571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9.1000000000000011E-2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2180888.1058176779</v>
      </c>
      <c r="E57" s="46"/>
      <c r="F57" s="1" t="s">
        <v>23</v>
      </c>
      <c r="H57" s="1">
        <f>G15/(1+$B$57)</f>
        <v>94.671146209386265</v>
      </c>
      <c r="I57" s="1">
        <f>H15/(1+$B$57)^2</f>
        <v>94.744752635900355</v>
      </c>
      <c r="J57" s="1">
        <f>I15/(1+$B$57)^3</f>
        <v>96.496719571855209</v>
      </c>
      <c r="K57" s="1">
        <f>J15/(1+$B$57)^4</f>
        <v>99.026336444934685</v>
      </c>
      <c r="L57" s="1">
        <f>K15/(1+$B$57)^5</f>
        <v>107.50817074602163</v>
      </c>
      <c r="M57" s="1">
        <f>L15/(1+$B$57)^6</f>
        <v>112.60612869143742</v>
      </c>
      <c r="N57" s="1">
        <f>M15/(1+$B$57)^7</f>
        <v>112.80938885153026</v>
      </c>
      <c r="O57" s="1">
        <f>N15/(1+$B$57)^8</f>
        <v>113.89718601744609</v>
      </c>
      <c r="P57" s="1">
        <f>O15/(1+$B$57)^9</f>
        <v>109.99096483634233</v>
      </c>
      <c r="Q57" s="1">
        <f>(Q15/(B57-Q12))/(1+B57)^10</f>
        <v>1239.1373118128238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42</v>
      </c>
      <c r="B59" s="23"/>
      <c r="C59" s="69">
        <v>30</v>
      </c>
      <c r="D59" s="23"/>
      <c r="E59" s="24"/>
    </row>
    <row r="60" spans="1:17" x14ac:dyDescent="0.25">
      <c r="A60" s="25" t="s">
        <v>21</v>
      </c>
      <c r="C60" s="70" t="s">
        <v>40</v>
      </c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10960.506767319928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0.35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838.34999318852431</v>
      </c>
    </row>
    <row r="67" spans="1:5" x14ac:dyDescent="0.25">
      <c r="A67" s="25"/>
      <c r="E67" s="61"/>
    </row>
    <row r="68" spans="1:5" x14ac:dyDescent="0.25">
      <c r="A68" s="62" t="s">
        <v>47</v>
      </c>
      <c r="E68" s="63">
        <f>(E66*0.25)*-1</f>
        <v>-209.58749829713108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43</v>
      </c>
      <c r="E70" s="60">
        <f>SUM(E62:E68)</f>
        <v>11589.269262211321</v>
      </c>
    </row>
    <row r="71" spans="1:5" x14ac:dyDescent="0.25">
      <c r="A71" s="25"/>
      <c r="E71" s="60"/>
    </row>
    <row r="72" spans="1:5" x14ac:dyDescent="0.25">
      <c r="A72" s="25" t="s">
        <v>44</v>
      </c>
      <c r="E72" s="64">
        <f>E70/C51-1</f>
        <v>0.8692369777760196</v>
      </c>
    </row>
    <row r="73" spans="1:5" x14ac:dyDescent="0.25">
      <c r="A73" s="25"/>
      <c r="E73" s="26"/>
    </row>
    <row r="74" spans="1:5" ht="16.5" thickBot="1" x14ac:dyDescent="0.3">
      <c r="A74" s="65" t="s">
        <v>45</v>
      </c>
      <c r="B74" s="66"/>
      <c r="C74" s="66"/>
      <c r="D74" s="66"/>
      <c r="E74" s="104">
        <f>(E70/C51)^(1/10)-1</f>
        <v>6.4550912080617806E-2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2022-11-26T08:06:29Z</dcterms:modified>
</cp:coreProperties>
</file>