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BB98A3CD-0C91-4E23-8FDF-EC4338F33CBE}" xr6:coauthVersionLast="44" xr6:coauthVersionMax="44" xr10:uidLastSave="{00000000-0000-0000-0000-000000000000}"/>
  <bookViews>
    <workbookView xWindow="-28920" yWindow="-120" windowWidth="29040" windowHeight="1584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34" l="1"/>
  <c r="O18" i="34"/>
  <c r="N18" i="34"/>
  <c r="M18" i="34"/>
  <c r="L18" i="34"/>
  <c r="K18" i="34"/>
  <c r="J18" i="34"/>
  <c r="I18" i="34"/>
  <c r="H18" i="34"/>
  <c r="J12" i="34" l="1"/>
  <c r="J12" i="32"/>
  <c r="D14" i="34" l="1"/>
  <c r="E14" i="34"/>
  <c r="F14" i="34"/>
  <c r="G14" i="34"/>
  <c r="H14" i="34"/>
  <c r="I14" i="34"/>
  <c r="C14" i="34"/>
  <c r="K11" i="32" l="1"/>
  <c r="L11" i="32" s="1"/>
  <c r="M11" i="32" s="1"/>
  <c r="N11" i="32" s="1"/>
  <c r="O11" i="32" s="1"/>
  <c r="P11" i="32" s="1"/>
  <c r="Q11" i="32" s="1"/>
  <c r="D50" i="34" l="1"/>
  <c r="D50" i="32"/>
  <c r="G18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J14" i="32" l="1"/>
  <c r="L14" i="32"/>
  <c r="L15" i="32" s="1"/>
  <c r="K14" i="32"/>
  <c r="K15" i="32" s="1"/>
  <c r="K57" i="32" l="1"/>
  <c r="J19" i="32"/>
  <c r="J17" i="32"/>
  <c r="J16" i="32"/>
  <c r="L19" i="32"/>
  <c r="L17" i="32"/>
  <c r="M57" i="32"/>
  <c r="K19" i="32"/>
  <c r="K17" i="32"/>
  <c r="L57" i="32"/>
  <c r="M14" i="32"/>
  <c r="M15" i="32" s="1"/>
  <c r="N57" i="32" l="1"/>
  <c r="M17" i="32"/>
  <c r="M19" i="32"/>
  <c r="N14" i="32"/>
  <c r="N15" i="32" s="1"/>
  <c r="O14" i="32"/>
  <c r="O15" i="32" s="1"/>
  <c r="O19" i="32" s="1"/>
  <c r="N19" i="32" l="1"/>
  <c r="N17" i="32"/>
  <c r="O57" i="32"/>
  <c r="Q14" i="32" l="1"/>
  <c r="Q15" i="32" s="1"/>
  <c r="P14" i="32"/>
  <c r="P15" i="32" s="1"/>
  <c r="P17" i="32" s="1"/>
  <c r="O17" i="32"/>
  <c r="P57" i="32"/>
  <c r="E62" i="32" l="1"/>
  <c r="E66" i="32"/>
  <c r="E68" i="32" s="1"/>
  <c r="Q57" i="32"/>
  <c r="D57" i="32" s="1"/>
  <c r="Q19" i="32"/>
  <c r="P19" i="32"/>
  <c r="D41" i="32"/>
  <c r="D43" i="32"/>
  <c r="D44" i="32"/>
  <c r="D40" i="32"/>
  <c r="D42" i="32"/>
  <c r="D49" i="32" l="1"/>
  <c r="D51" i="32" s="1"/>
  <c r="D52" i="32" s="1"/>
  <c r="E70" i="32"/>
  <c r="D53" i="32" l="1"/>
  <c r="E74" i="32"/>
  <c r="E72" i="32" l="1"/>
  <c r="K11" i="34" l="1"/>
  <c r="K14" i="34" l="1"/>
  <c r="K15" i="34" s="1"/>
  <c r="L11" i="34"/>
  <c r="J14" i="34"/>
  <c r="L14" i="34" l="1"/>
  <c r="L15" i="34" s="1"/>
  <c r="M11" i="34"/>
  <c r="K19" i="34"/>
  <c r="L57" i="34"/>
  <c r="K17" i="34"/>
  <c r="J17" i="34" l="1"/>
  <c r="K57" i="34"/>
  <c r="J19" i="34"/>
  <c r="J16" i="34"/>
  <c r="M14" i="34"/>
  <c r="M15" i="34" s="1"/>
  <c r="N11" i="34"/>
  <c r="M57" i="34"/>
  <c r="L17" i="34"/>
  <c r="L19" i="34"/>
  <c r="N14" i="34" l="1"/>
  <c r="N15" i="34" s="1"/>
  <c r="O11" i="34"/>
  <c r="M19" i="34"/>
  <c r="M17" i="34"/>
  <c r="N57" i="34"/>
  <c r="P11" i="34" l="1"/>
  <c r="O14" i="34"/>
  <c r="O15" i="34" s="1"/>
  <c r="N19" i="34"/>
  <c r="O57" i="34"/>
  <c r="N17" i="34"/>
  <c r="P57" i="34" l="1"/>
  <c r="O19" i="34"/>
  <c r="O17" i="34"/>
  <c r="Q11" i="34"/>
  <c r="Q14" i="34" s="1"/>
  <c r="Q15" i="34" s="1"/>
  <c r="P14" i="34"/>
  <c r="P15" i="34" s="1"/>
  <c r="D42" i="34" s="1"/>
  <c r="D43" i="34" l="1"/>
  <c r="D41" i="34"/>
  <c r="D44" i="34"/>
  <c r="D40" i="34"/>
  <c r="P19" i="34"/>
  <c r="P17" i="34"/>
  <c r="Q19" i="34"/>
  <c r="Q57" i="34"/>
  <c r="D57" i="34" s="1"/>
  <c r="D49" i="34" l="1"/>
  <c r="D51" i="34" s="1"/>
  <c r="D53" i="34" s="1"/>
  <c r="E62" i="34"/>
  <c r="E66" i="34"/>
  <c r="E68" i="34" s="1"/>
  <c r="D52" i="34" l="1"/>
  <c r="E70" i="34"/>
  <c r="E72" i="34" s="1"/>
  <c r="E74" i="34" l="1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<sst xmlns="http://schemas.openxmlformats.org/spreadsheetml/2006/main" count="99" uniqueCount="49">
  <si>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</si>
  <si>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</si>
  <si>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</si>
  <si>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</si>
  <si>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</si>
  <si>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</si>
  <si>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</si>
  <si>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</si>
  <si>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</si>
  <si>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</si>
  <si>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</si>
  <si>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</si>
  <si>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</si>
  <si>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</si>
  <si>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</si>
  <si>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</si>
  <si>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</si>
  <si>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</si>
  <si>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</si>
  <si>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</si>
  <si>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</si>
  <si>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</si>
  <si>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</si>
  <si>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</si>
  <si>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</si>
  <si>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</si>
  <si>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</si>
  <si>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</si>
  <si>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</si>
  <si>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</si>
  <si>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</si>
  <si>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</si>
  <si>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</si>
  <si>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</si>
  <si>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</si>
  <si>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</si>
  <si>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</si>
  <si>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</si>
  <si>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</si>
  <si>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</si>
  <si>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</si>
  <si>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USD</t>
  </si>
  <si>
    <t>2032ff.</t>
  </si>
  <si>
    <t xml:space="preserve"> Annahmen für Sherwin-Williams</t>
  </si>
  <si>
    <t>Quellensteuer USA (25 %)</t>
  </si>
  <si>
    <t>KGV Multiple in 2031</t>
  </si>
  <si>
    <t>Gesamtwert 2031</t>
  </si>
  <si>
    <t>Steigerung Gesamt bis 2031 in Prozent</t>
  </si>
  <si>
    <t>Renditeerwartung bis 2031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</si>
</sst>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46" zoomScaleNormal="100" workbookViewId="0">
      <selection activeCell="C48" sqref="C4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43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42</v>
      </c>
    </row>
    <row r="11" spans="1:28" x14ac:dyDescent="0.25">
      <c r="A11" s="5"/>
      <c r="B11" s="4" t="s">
        <v>4</v>
      </c>
      <c r="C11" s="84">
        <v>17534.490000000002</v>
      </c>
      <c r="D11" s="84">
        <v>17900.8</v>
      </c>
      <c r="E11" s="84">
        <v>18361.7</v>
      </c>
      <c r="F11" s="84">
        <v>19944.599999999999</v>
      </c>
      <c r="G11" s="74">
        <v>22163.98</v>
      </c>
      <c r="H11" s="74">
        <v>23113.27</v>
      </c>
      <c r="I11" s="74">
        <v>23814.77</v>
      </c>
      <c r="J11" s="74">
        <v>24000.16</v>
      </c>
      <c r="K11" s="74">
        <f t="shared" ref="K11:Q11" si="0">J11*(1+K12)</f>
        <v>24480.163199999999</v>
      </c>
      <c r="L11" s="74">
        <f t="shared" si="0"/>
        <v>25704.17136</v>
      </c>
      <c r="M11" s="74">
        <f t="shared" si="0"/>
        <v>26989.379928000002</v>
      </c>
      <c r="N11" s="74">
        <f t="shared" si="0"/>
        <v>28068.955125120003</v>
      </c>
      <c r="O11" s="74">
        <f t="shared" si="0"/>
        <v>29191.713330124803</v>
      </c>
      <c r="P11" s="74">
        <f t="shared" si="0"/>
        <v>30067.464730028547</v>
      </c>
      <c r="Q11" s="74">
        <f t="shared" si="0"/>
        <v>30518.476700978972</v>
      </c>
    </row>
    <row r="12" spans="1:28" x14ac:dyDescent="0.25">
      <c r="A12" s="5"/>
      <c r="B12" s="4" t="s">
        <v>1</v>
      </c>
      <c r="C12" s="88"/>
      <c r="D12" s="91">
        <f t="shared" ref="D12:J12" si="1">D11/C11-1</f>
        <v>2.0890827164063319E-2</v>
      </c>
      <c r="E12" s="91">
        <f t="shared" si="1"/>
        <v>2.5747452627815637E-2</v>
      </c>
      <c r="F12" s="91">
        <f t="shared" si="1"/>
        <v>8.6206614855922847E-2</v>
      </c>
      <c r="G12" s="87">
        <f t="shared" si="1"/>
        <v>0.11127723794911915</v>
      </c>
      <c r="H12" s="87">
        <f t="shared" si="1"/>
        <v>4.2830303943605763E-2</v>
      </c>
      <c r="I12" s="87">
        <f t="shared" si="1"/>
        <v>3.0350530236526563E-2</v>
      </c>
      <c r="J12" s="87">
        <f t="shared" si="1"/>
        <v>7.7846647269741442E-3</v>
      </c>
      <c r="K12" s="87">
        <v>0.02</v>
      </c>
      <c r="L12" s="73">
        <v>0.05</v>
      </c>
      <c r="M12" s="73">
        <v>0.05</v>
      </c>
      <c r="N12" s="73">
        <v>0.04</v>
      </c>
      <c r="O12" s="73">
        <v>0.04</v>
      </c>
      <c r="P12" s="73">
        <v>0.03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0.10780000000000001</v>
      </c>
      <c r="D13" s="90">
        <v>0.13600000000000001</v>
      </c>
      <c r="E13" s="90">
        <v>0.15540000000000001</v>
      </c>
      <c r="F13" s="90">
        <v>0.1336</v>
      </c>
      <c r="G13" s="86">
        <v>0.14399999999999999</v>
      </c>
      <c r="H13" s="86">
        <v>0.15759999999999999</v>
      </c>
      <c r="I13" s="86">
        <v>0.1673</v>
      </c>
      <c r="J13" s="86">
        <v>0.16520000000000001</v>
      </c>
      <c r="K13" s="86">
        <v>0.16750000000000001</v>
      </c>
      <c r="L13" s="86">
        <v>0.16750000000000001</v>
      </c>
      <c r="M13" s="86">
        <v>0.16750000000000001</v>
      </c>
      <c r="N13" s="86">
        <v>0.17</v>
      </c>
      <c r="O13" s="86">
        <v>0.17</v>
      </c>
      <c r="P13" s="86">
        <v>0.17</v>
      </c>
      <c r="Q13" s="86">
        <v>0.17</v>
      </c>
    </row>
    <row r="14" spans="1:28" ht="17.100000000000001" customHeight="1" x14ac:dyDescent="0.25">
      <c r="A14" s="5"/>
      <c r="B14" s="4" t="s">
        <v>16</v>
      </c>
      <c r="C14" s="84">
        <f>C11*C13</f>
        <v>1890.2180220000002</v>
      </c>
      <c r="D14" s="84">
        <f t="shared" ref="D14:I14" si="2">D11*D13</f>
        <v>2434.5088000000001</v>
      </c>
      <c r="E14" s="84">
        <f t="shared" si="2"/>
        <v>2853.4081800000004</v>
      </c>
      <c r="F14" s="84">
        <f t="shared" si="2"/>
        <v>2664.5985599999999</v>
      </c>
      <c r="G14" s="74">
        <f t="shared" si="2"/>
        <v>3191.6131199999995</v>
      </c>
      <c r="H14" s="74">
        <f t="shared" si="2"/>
        <v>3642.6513519999999</v>
      </c>
      <c r="I14" s="74">
        <f t="shared" si="2"/>
        <v>3984.2110210000001</v>
      </c>
      <c r="J14" s="74">
        <f>J11*J13</f>
        <v>3964.8264320000003</v>
      </c>
      <c r="K14" s="74">
        <f t="shared" ref="K14:Q14" si="3">K11*K13</f>
        <v>4100.4273359999997</v>
      </c>
      <c r="L14" s="74">
        <f t="shared" si="3"/>
        <v>4305.4487028000003</v>
      </c>
      <c r="M14" s="74">
        <f t="shared" si="3"/>
        <v>4520.7211379400005</v>
      </c>
      <c r="N14" s="74">
        <f t="shared" si="3"/>
        <v>4771.7223712704008</v>
      </c>
      <c r="O14" s="74">
        <f t="shared" si="3"/>
        <v>4962.5912661212169</v>
      </c>
      <c r="P14" s="74">
        <f t="shared" si="3"/>
        <v>5111.4690041048534</v>
      </c>
      <c r="Q14" s="74">
        <f t="shared" si="3"/>
        <v>5188.1410391664258</v>
      </c>
    </row>
    <row r="15" spans="1:28" x14ac:dyDescent="0.25">
      <c r="A15" s="102">
        <v>0.3</v>
      </c>
      <c r="B15" s="4" t="s">
        <v>39</v>
      </c>
      <c r="C15" s="84">
        <v>1108.1797680000002</v>
      </c>
      <c r="D15" s="84">
        <v>1720.2668800000001</v>
      </c>
      <c r="E15" s="84">
        <v>2030.8040200000003</v>
      </c>
      <c r="F15" s="84">
        <v>1864.8200999999999</v>
      </c>
      <c r="G15" s="74">
        <v>2287.3227360000001</v>
      </c>
      <c r="H15" s="74">
        <v>2683.4506470000001</v>
      </c>
      <c r="I15" s="74">
        <v>2881.5871699999998</v>
      </c>
      <c r="J15" s="74">
        <v>2863.2190880000003</v>
      </c>
      <c r="K15" s="74">
        <f t="shared" ref="K15:Q15" si="4">K14*(1-$A$15)</f>
        <v>2870.2991351999995</v>
      </c>
      <c r="L15" s="74">
        <f t="shared" si="4"/>
        <v>3013.81409196</v>
      </c>
      <c r="M15" s="74">
        <f t="shared" si="4"/>
        <v>3164.5047965580002</v>
      </c>
      <c r="N15" s="74">
        <f t="shared" si="4"/>
        <v>3340.2056598892805</v>
      </c>
      <c r="O15" s="74">
        <f t="shared" si="4"/>
        <v>3473.8138862848518</v>
      </c>
      <c r="P15" s="74">
        <f t="shared" si="4"/>
        <v>3578.028302873397</v>
      </c>
      <c r="Q15" s="74">
        <f t="shared" si="4"/>
        <v>3631.6987274164976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0.5862708719851577</v>
      </c>
      <c r="D16" s="15">
        <f t="shared" si="5"/>
        <v>0.70661764705882357</v>
      </c>
      <c r="E16" s="15">
        <f t="shared" si="5"/>
        <v>0.71171171171171177</v>
      </c>
      <c r="F16" s="15">
        <f t="shared" si="5"/>
        <v>0.69985029940119758</v>
      </c>
      <c r="G16" s="15">
        <f t="shared" si="5"/>
        <v>0.71666666666666679</v>
      </c>
      <c r="H16" s="15">
        <f t="shared" si="5"/>
        <v>0.73667512690355341</v>
      </c>
      <c r="I16" s="15">
        <f t="shared" si="5"/>
        <v>0.72325164375373574</v>
      </c>
      <c r="J16" s="15">
        <f t="shared" si="5"/>
        <v>0.72215496368038745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8.563544500187195</v>
      </c>
      <c r="H17" s="74">
        <f t="shared" ref="H17:P17" si="6">H15/H18</f>
        <v>10.122533177038193</v>
      </c>
      <c r="I17" s="74">
        <f t="shared" si="6"/>
        <v>10.952085938093617</v>
      </c>
      <c r="J17" s="74">
        <f t="shared" si="6"/>
        <v>10.964507938824607</v>
      </c>
      <c r="K17" s="74">
        <f t="shared" si="6"/>
        <v>11.074680615460281</v>
      </c>
      <c r="L17" s="74">
        <f t="shared" si="6"/>
        <v>11.716286797212389</v>
      </c>
      <c r="M17" s="74">
        <f t="shared" si="6"/>
        <v>12.395064117957689</v>
      </c>
      <c r="N17" s="74">
        <f t="shared" si="6"/>
        <v>13.182133680543899</v>
      </c>
      <c r="O17" s="74">
        <f t="shared" si="6"/>
        <v>13.813016652660609</v>
      </c>
      <c r="P17" s="74">
        <f t="shared" si="6"/>
        <v>14.334919045078513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267.10000000000002</v>
      </c>
      <c r="H18" s="74">
        <f t="shared" ref="H18:P18" si="7">G18*0.9925</f>
        <v>265.09675000000004</v>
      </c>
      <c r="I18" s="74">
        <f t="shared" si="7"/>
        <v>263.10852437500006</v>
      </c>
      <c r="J18" s="74">
        <f t="shared" si="7"/>
        <v>261.1352104421876</v>
      </c>
      <c r="K18" s="74">
        <f t="shared" si="7"/>
        <v>259.1766963638712</v>
      </c>
      <c r="L18" s="74">
        <f t="shared" si="7"/>
        <v>257.2328711411422</v>
      </c>
      <c r="M18" s="74">
        <f t="shared" si="7"/>
        <v>255.30362460758366</v>
      </c>
      <c r="N18" s="74">
        <f t="shared" si="7"/>
        <v>253.38884742302679</v>
      </c>
      <c r="O18" s="74">
        <f t="shared" si="7"/>
        <v>251.4884310673541</v>
      </c>
      <c r="P18" s="74">
        <f t="shared" si="7"/>
        <v>249.60226783434896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2089.8334728186387</v>
      </c>
      <c r="H19" s="53">
        <f>H15/(1+$C$55)^2</f>
        <v>2240.0725309340842</v>
      </c>
      <c r="I19" s="53">
        <f>I15/(1+$C$55)^3</f>
        <v>2197.7812507999361</v>
      </c>
      <c r="J19" s="53">
        <f>J15/(1+$C$55)^4</f>
        <v>1995.2233424748899</v>
      </c>
      <c r="K19" s="53">
        <f>K15/(1+$C$55)^5</f>
        <v>1827.4618971814368</v>
      </c>
      <c r="L19" s="53">
        <f>L15/(1+$C$55)^6</f>
        <v>1753.1612535774414</v>
      </c>
      <c r="M19" s="53">
        <f>M15/(1+$C$55)^7</f>
        <v>1681.8815132538266</v>
      </c>
      <c r="N19" s="53">
        <f>N15/(1+$C$55)^8</f>
        <v>1621.9859217022786</v>
      </c>
      <c r="O19" s="53">
        <f>O15/(1+$C$55)^9</f>
        <v>1541.2200626499496</v>
      </c>
      <c r="P19" s="53">
        <f>P15/(1+$C$55)^10</f>
        <v>1450.3943942708522</v>
      </c>
      <c r="Q19" s="54">
        <f>(Q15/(C55-Q12))/(1+C55)^10</f>
        <v>18517.613964590124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5.9500000000000004E-2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9.4500000000000001E-2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9.4500000000000001E-2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9.4500000000000001E-2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44884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64114.684000000001</v>
      </c>
      <c r="D49" s="47">
        <f>SUM(G19:Q19)</f>
        <v>36916.62960425346</v>
      </c>
      <c r="E49" s="46" t="s">
        <v>41</v>
      </c>
    </row>
    <row r="50" spans="1:17" x14ac:dyDescent="0.25">
      <c r="A50" s="45"/>
      <c r="B50" s="46" t="s">
        <v>11</v>
      </c>
      <c r="C50" s="56">
        <v>267.10000000000002</v>
      </c>
      <c r="D50" s="56">
        <f>C50</f>
        <v>267.10000000000002</v>
      </c>
      <c r="E50" s="46"/>
    </row>
    <row r="51" spans="1:17" x14ac:dyDescent="0.25">
      <c r="A51" s="45"/>
      <c r="B51" s="46" t="s">
        <v>13</v>
      </c>
      <c r="C51" s="89">
        <v>240.04</v>
      </c>
      <c r="D51" s="56">
        <f>D49/(D50)</f>
        <v>138.21276527238285</v>
      </c>
      <c r="E51" s="46" t="s">
        <v>41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0.7367426194457587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9.4500000000000001E-2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30013532.264424078</v>
      </c>
      <c r="E57" s="46"/>
      <c r="F57" s="1" t="s">
        <v>23</v>
      </c>
      <c r="H57" s="1">
        <f>G15/(1+$B$57)</f>
        <v>2064.3707003610107</v>
      </c>
      <c r="I57" s="1">
        <f>H15/(1+$B$57)^2</f>
        <v>2185.8184706890479</v>
      </c>
      <c r="J57" s="1">
        <f>I15/(1+$B$57)^3</f>
        <v>2118.4220130575354</v>
      </c>
      <c r="K57" s="1">
        <f>J15/(1+$B$57)^4</f>
        <v>1899.7460014977919</v>
      </c>
      <c r="L57" s="1">
        <f>K15/(1+$B$57)^5</f>
        <v>1718.8119252281535</v>
      </c>
      <c r="M57" s="1">
        <f>L15/(1+$B$57)^6</f>
        <v>1628.8380157848026</v>
      </c>
      <c r="N57" s="1">
        <f>M15/(1+$B$57)^7</f>
        <v>1543.5739319260315</v>
      </c>
      <c r="O57" s="1">
        <f>N15/(1+$B$57)^8</f>
        <v>1470.4664645968116</v>
      </c>
      <c r="P57" s="1">
        <f>O15/(1+$B$57)^9</f>
        <v>1380.2212303074764</v>
      </c>
      <c r="Q57" s="1">
        <f>(Q15/(B57-Q12))/(1+B57)^10</f>
        <v>14003.263510975416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45</v>
      </c>
      <c r="B59" s="23"/>
      <c r="C59" s="69">
        <v>16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229.3587047212562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0.25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29.279693115764246</v>
      </c>
    </row>
    <row r="67" spans="1:5" x14ac:dyDescent="0.25">
      <c r="A67" s="25"/>
      <c r="E67" s="61"/>
    </row>
    <row r="68" spans="1:5" x14ac:dyDescent="0.25">
      <c r="A68" s="62" t="s">
        <v>44</v>
      </c>
      <c r="E68" s="63">
        <f>(E66*0.25)*-1</f>
        <v>-7.3199232789410615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46</v>
      </c>
      <c r="E70" s="60">
        <f>SUM(E62:E68)</f>
        <v>251.31847455807934</v>
      </c>
    </row>
    <row r="71" spans="1:5" x14ac:dyDescent="0.25">
      <c r="A71" s="25"/>
      <c r="E71" s="60"/>
    </row>
    <row r="72" spans="1:5" x14ac:dyDescent="0.25">
      <c r="A72" s="25" t="s">
        <v>47</v>
      </c>
      <c r="E72" s="64">
        <f>E70/C51-1</f>
        <v>4.6985813023160183E-2</v>
      </c>
    </row>
    <row r="73" spans="1:5" x14ac:dyDescent="0.25">
      <c r="A73" s="25"/>
      <c r="E73" s="26"/>
    </row>
    <row r="74" spans="1:5" ht="16.5" thickBot="1" x14ac:dyDescent="0.3">
      <c r="A74" s="65" t="s">
        <v>48</v>
      </c>
      <c r="B74" s="66"/>
      <c r="C74" s="66"/>
      <c r="D74" s="66"/>
      <c r="E74" s="104">
        <f>(E70/C51)^(1/10)-1</f>
        <v>4.6020954307581796E-3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>
      <selection activeCell="F56" sqref="F56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43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42</v>
      </c>
    </row>
    <row r="11" spans="1:28" x14ac:dyDescent="0.25">
      <c r="A11" s="5"/>
      <c r="B11" s="4" t="s">
        <v>4</v>
      </c>
      <c r="C11" s="84">
        <v>17534.490000000002</v>
      </c>
      <c r="D11" s="84">
        <v>17900.8</v>
      </c>
      <c r="E11" s="84">
        <v>18361.7</v>
      </c>
      <c r="F11" s="84">
        <v>19944.599999999999</v>
      </c>
      <c r="G11" s="74">
        <v>22163.98</v>
      </c>
      <c r="H11" s="74">
        <v>23113.27</v>
      </c>
      <c r="I11" s="74">
        <v>23814.77</v>
      </c>
      <c r="J11" s="74">
        <v>24000.16</v>
      </c>
      <c r="K11" s="74">
        <f t="shared" ref="K11:Q11" si="0">J11*(1+K12)</f>
        <v>24960.166400000002</v>
      </c>
      <c r="L11" s="74">
        <f t="shared" si="0"/>
        <v>26956.979712000004</v>
      </c>
      <c r="M11" s="74">
        <f t="shared" si="0"/>
        <v>29383.107886080008</v>
      </c>
      <c r="N11" s="74">
        <f t="shared" si="0"/>
        <v>31439.925438105609</v>
      </c>
      <c r="O11" s="74">
        <f t="shared" si="0"/>
        <v>33011.921710010887</v>
      </c>
      <c r="P11" s="74">
        <f t="shared" si="0"/>
        <v>34332.398578411325</v>
      </c>
      <c r="Q11" s="74">
        <f t="shared" si="0"/>
        <v>35019.046549979554</v>
      </c>
    </row>
    <row r="12" spans="1:28" x14ac:dyDescent="0.25">
      <c r="A12" s="5"/>
      <c r="B12" s="4" t="s">
        <v>1</v>
      </c>
      <c r="C12" s="88"/>
      <c r="D12" s="91">
        <f t="shared" ref="D12:J12" si="1">D11/C11-1</f>
        <v>2.0890827164063319E-2</v>
      </c>
      <c r="E12" s="91">
        <f t="shared" si="1"/>
        <v>2.5747452627815637E-2</v>
      </c>
      <c r="F12" s="91">
        <f t="shared" si="1"/>
        <v>8.6206614855922847E-2</v>
      </c>
      <c r="G12" s="87">
        <f t="shared" si="1"/>
        <v>0.11127723794911915</v>
      </c>
      <c r="H12" s="87">
        <f t="shared" si="1"/>
        <v>4.2830303943605763E-2</v>
      </c>
      <c r="I12" s="87">
        <f t="shared" si="1"/>
        <v>3.0350530236526563E-2</v>
      </c>
      <c r="J12" s="87">
        <f t="shared" si="1"/>
        <v>7.7846647269741442E-3</v>
      </c>
      <c r="K12" s="87">
        <v>0.04</v>
      </c>
      <c r="L12" s="73">
        <v>0.08</v>
      </c>
      <c r="M12" s="73">
        <v>0.09</v>
      </c>
      <c r="N12" s="73">
        <v>7.0000000000000007E-2</v>
      </c>
      <c r="O12" s="73">
        <v>0.05</v>
      </c>
      <c r="P12" s="73">
        <v>0.04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0.10780000000000001</v>
      </c>
      <c r="D13" s="90">
        <v>0.13600000000000001</v>
      </c>
      <c r="E13" s="90">
        <v>0.15540000000000001</v>
      </c>
      <c r="F13" s="90">
        <v>0.1336</v>
      </c>
      <c r="G13" s="86">
        <v>0.14399999999999999</v>
      </c>
      <c r="H13" s="86">
        <v>0.15759999999999999</v>
      </c>
      <c r="I13" s="86">
        <v>0.1673</v>
      </c>
      <c r="J13" s="86">
        <v>0.16520000000000001</v>
      </c>
      <c r="K13" s="86">
        <v>0.17</v>
      </c>
      <c r="L13" s="86">
        <v>0.18</v>
      </c>
      <c r="M13" s="86">
        <v>0.185</v>
      </c>
      <c r="N13" s="86">
        <v>0.19</v>
      </c>
      <c r="O13" s="86">
        <v>0.19500000000000001</v>
      </c>
      <c r="P13" s="86">
        <v>0.2</v>
      </c>
      <c r="Q13" s="86">
        <v>0.2</v>
      </c>
    </row>
    <row r="14" spans="1:28" ht="17.100000000000001" customHeight="1" x14ac:dyDescent="0.25">
      <c r="A14" s="5"/>
      <c r="B14" s="4" t="s">
        <v>16</v>
      </c>
      <c r="C14" s="84">
        <f>C11*C13</f>
        <v>1890.2180220000002</v>
      </c>
      <c r="D14" s="84">
        <f t="shared" ref="D14:J14" si="2">D11*D13</f>
        <v>2434.5088000000001</v>
      </c>
      <c r="E14" s="84">
        <f t="shared" si="2"/>
        <v>2853.4081800000004</v>
      </c>
      <c r="F14" s="84">
        <f t="shared" si="2"/>
        <v>2664.5985599999999</v>
      </c>
      <c r="G14" s="74">
        <f t="shared" si="2"/>
        <v>3191.6131199999995</v>
      </c>
      <c r="H14" s="74">
        <f t="shared" si="2"/>
        <v>3642.6513519999999</v>
      </c>
      <c r="I14" s="74">
        <f t="shared" si="2"/>
        <v>3984.2110210000001</v>
      </c>
      <c r="J14" s="74">
        <f t="shared" si="2"/>
        <v>3964.8264320000003</v>
      </c>
      <c r="K14" s="74">
        <f t="shared" ref="K14:Q14" si="3">K11*K13</f>
        <v>4243.2282880000002</v>
      </c>
      <c r="L14" s="74">
        <f t="shared" si="3"/>
        <v>4852.2563481600009</v>
      </c>
      <c r="M14" s="74">
        <f t="shared" si="3"/>
        <v>5435.8749589248018</v>
      </c>
      <c r="N14" s="74">
        <f t="shared" si="3"/>
        <v>5973.5858332400658</v>
      </c>
      <c r="O14" s="74">
        <f>O11*O13</f>
        <v>6437.3247334521229</v>
      </c>
      <c r="P14" s="74">
        <f t="shared" si="3"/>
        <v>6866.4797156822651</v>
      </c>
      <c r="Q14" s="74">
        <f t="shared" si="3"/>
        <v>7003.8093099959115</v>
      </c>
    </row>
    <row r="15" spans="1:28" x14ac:dyDescent="0.25">
      <c r="A15" s="102">
        <v>0.25</v>
      </c>
      <c r="B15" s="4" t="s">
        <v>39</v>
      </c>
      <c r="C15" s="84">
        <v>1108.1797680000002</v>
      </c>
      <c r="D15" s="84">
        <v>1720.2668800000001</v>
      </c>
      <c r="E15" s="84">
        <v>2030.8040200000003</v>
      </c>
      <c r="F15" s="84">
        <v>1864.8200999999999</v>
      </c>
      <c r="G15" s="74">
        <v>2287.3227360000001</v>
      </c>
      <c r="H15" s="74">
        <v>2683.4506470000001</v>
      </c>
      <c r="I15" s="74">
        <v>2881.5871699999998</v>
      </c>
      <c r="J15" s="74">
        <v>2863.2190880000003</v>
      </c>
      <c r="K15" s="74">
        <f>K14*(1-$A$15)</f>
        <v>3182.4212160000002</v>
      </c>
      <c r="L15" s="74">
        <f t="shared" ref="L15:Q15" si="4">L14*(1-$A$15)</f>
        <v>3639.1922611200007</v>
      </c>
      <c r="M15" s="74">
        <f t="shared" si="4"/>
        <v>4076.9062191936014</v>
      </c>
      <c r="N15" s="74">
        <f t="shared" si="4"/>
        <v>4480.1893749300489</v>
      </c>
      <c r="O15" s="74">
        <f>O14*(1-$A$15)</f>
        <v>4827.9935500890924</v>
      </c>
      <c r="P15" s="74">
        <f t="shared" si="4"/>
        <v>5149.8597867616991</v>
      </c>
      <c r="Q15" s="74">
        <f t="shared" si="4"/>
        <v>5252.8569824969336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0.5862708719851577</v>
      </c>
      <c r="D16" s="15">
        <f t="shared" si="5"/>
        <v>0.70661764705882357</v>
      </c>
      <c r="E16" s="15">
        <f t="shared" si="5"/>
        <v>0.71171171171171177</v>
      </c>
      <c r="F16" s="15">
        <f t="shared" si="5"/>
        <v>0.69985029940119758</v>
      </c>
      <c r="G16" s="15">
        <f t="shared" si="5"/>
        <v>0.71666666666666679</v>
      </c>
      <c r="H16" s="15">
        <f t="shared" si="5"/>
        <v>0.73667512690355341</v>
      </c>
      <c r="I16" s="15">
        <f t="shared" si="5"/>
        <v>0.72325164375373574</v>
      </c>
      <c r="J16" s="15">
        <f t="shared" si="5"/>
        <v>0.72215496368038745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8.563544500187195</v>
      </c>
      <c r="H17" s="74">
        <f t="shared" ref="H17:O17" si="6">H15/H18</f>
        <v>10.199608302751683</v>
      </c>
      <c r="I17" s="74">
        <f t="shared" si="6"/>
        <v>11.119503933475464</v>
      </c>
      <c r="J17" s="74">
        <f t="shared" si="6"/>
        <v>11.216878125123728</v>
      </c>
      <c r="K17" s="74">
        <f t="shared" si="6"/>
        <v>12.657235220609277</v>
      </c>
      <c r="L17" s="74">
        <f t="shared" si="6"/>
        <v>14.694335783137914</v>
      </c>
      <c r="M17" s="74">
        <f t="shared" si="6"/>
        <v>16.712424200055054</v>
      </c>
      <c r="N17" s="74">
        <f t="shared" si="6"/>
        <v>18.645278309075</v>
      </c>
      <c r="O17" s="74">
        <f t="shared" si="6"/>
        <v>20.398721527027018</v>
      </c>
      <c r="P17" s="74">
        <f>P15/P18</f>
        <v>22.089986086797449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267.10000000000002</v>
      </c>
      <c r="H18" s="74">
        <f t="shared" ref="H18:P18" si="7">G18*0.985</f>
        <v>263.09350000000001</v>
      </c>
      <c r="I18" s="74">
        <f t="shared" si="7"/>
        <v>259.14709750000003</v>
      </c>
      <c r="J18" s="74">
        <f t="shared" si="7"/>
        <v>255.25989103750001</v>
      </c>
      <c r="K18" s="74">
        <f t="shared" si="7"/>
        <v>251.4309926719375</v>
      </c>
      <c r="L18" s="74">
        <f t="shared" si="7"/>
        <v>247.65952778185843</v>
      </c>
      <c r="M18" s="74">
        <f t="shared" si="7"/>
        <v>243.94463486513055</v>
      </c>
      <c r="N18" s="74">
        <f t="shared" si="7"/>
        <v>240.2854653421536</v>
      </c>
      <c r="O18" s="74">
        <f t="shared" si="7"/>
        <v>236.6811833620213</v>
      </c>
      <c r="P18" s="74">
        <f t="shared" si="7"/>
        <v>233.13096561159097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2089.8334728186387</v>
      </c>
      <c r="H19" s="53">
        <f>H15/(1+$C$55)^2</f>
        <v>2240.0725309340842</v>
      </c>
      <c r="I19" s="53">
        <f>I15/(1+$C$55)^3</f>
        <v>2197.7812507999361</v>
      </c>
      <c r="J19" s="53">
        <f>J15/(1+$C$55)^4</f>
        <v>1995.2233424748899</v>
      </c>
      <c r="K19" s="53">
        <f>K15/(1+$C$55)^5</f>
        <v>2026.1837665977557</v>
      </c>
      <c r="L19" s="53">
        <f>L15/(1+$C$55)^6</f>
        <v>2116.9490459065587</v>
      </c>
      <c r="M19" s="53">
        <f>M15/(1+$C$55)^7</f>
        <v>2166.8076499013123</v>
      </c>
      <c r="N19" s="53">
        <f>N15/(1+$C$55)^8</f>
        <v>2175.5558886567323</v>
      </c>
      <c r="O19" s="53">
        <f>O15/(1+$C$55)^9</f>
        <v>2142.0262470364551</v>
      </c>
      <c r="P19" s="53">
        <f>P15/(1+$C$55)^10</f>
        <v>2087.5541314197217</v>
      </c>
      <c r="Q19" s="54">
        <f>(Q15/(C55-Q12))/(1+C55)^10</f>
        <v>28581.278040914316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5.9500000000000004E-2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9.4500000000000001E-2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9.4500000000000001E-2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9.4500000000000001E-2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44884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64114.684000000001</v>
      </c>
      <c r="D49" s="47">
        <f>SUM(G19:Q19)</f>
        <v>49819.265367460393</v>
      </c>
      <c r="E49" s="46" t="s">
        <v>41</v>
      </c>
    </row>
    <row r="50" spans="1:17" x14ac:dyDescent="0.25">
      <c r="A50" s="45"/>
      <c r="B50" s="46" t="s">
        <v>11</v>
      </c>
      <c r="C50" s="56">
        <v>267.10000000000002</v>
      </c>
      <c r="D50" s="56">
        <f>C50</f>
        <v>267.10000000000002</v>
      </c>
      <c r="E50" s="46"/>
    </row>
    <row r="51" spans="1:17" x14ac:dyDescent="0.25">
      <c r="A51" s="45"/>
      <c r="B51" s="46" t="s">
        <v>13</v>
      </c>
      <c r="C51" s="89">
        <v>240.04</v>
      </c>
      <c r="D51" s="56">
        <f>D49/(D50)</f>
        <v>186.51915150677794</v>
      </c>
      <c r="E51" s="46" t="s">
        <v>41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0.28694559277617748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9.4500000000000001E-2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39425120.683455661</v>
      </c>
      <c r="E57" s="46"/>
      <c r="F57" s="1" t="s">
        <v>23</v>
      </c>
      <c r="H57" s="1">
        <f>G15/(1+$B$57)</f>
        <v>2064.3707003610107</v>
      </c>
      <c r="I57" s="1">
        <f>H15/(1+$B$57)^2</f>
        <v>2185.8184706890479</v>
      </c>
      <c r="J57" s="1">
        <f>I15/(1+$B$57)^3</f>
        <v>2118.4220130575354</v>
      </c>
      <c r="K57" s="1">
        <f>J15/(1+$B$57)^4</f>
        <v>1899.7460014977919</v>
      </c>
      <c r="L57" s="1">
        <f>K15/(1+$B$57)^5</f>
        <v>1905.7189789310023</v>
      </c>
      <c r="M57" s="1">
        <f>L15/(1+$B$57)^6</f>
        <v>1966.8282517741923</v>
      </c>
      <c r="N57" s="1">
        <f>M15/(1+$B$57)^7</f>
        <v>1988.6227284911045</v>
      </c>
      <c r="O57" s="1">
        <f>N15/(1+$B$57)^8</f>
        <v>1972.3241326092368</v>
      </c>
      <c r="P57" s="1">
        <f>O15/(1+$B$57)^9</f>
        <v>1918.2660372018868</v>
      </c>
      <c r="Q57" s="1">
        <f>(Q15/(B57-Q12))/(1+B57)^10</f>
        <v>21405.003368842848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45</v>
      </c>
      <c r="B59" s="23"/>
      <c r="C59" s="69">
        <v>27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596.42962434353115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43.889254796471931</v>
      </c>
    </row>
    <row r="67" spans="1:5" x14ac:dyDescent="0.25">
      <c r="A67" s="25"/>
      <c r="E67" s="61"/>
    </row>
    <row r="68" spans="1:5" x14ac:dyDescent="0.25">
      <c r="A68" s="62" t="s">
        <v>44</v>
      </c>
      <c r="E68" s="63">
        <f>(E66*0.25)*-1</f>
        <v>-10.972313699117983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46</v>
      </c>
      <c r="E70" s="60">
        <f>SUM(E62:E68)</f>
        <v>629.34656544088512</v>
      </c>
    </row>
    <row r="71" spans="1:5" x14ac:dyDescent="0.25">
      <c r="A71" s="25"/>
      <c r="E71" s="60"/>
    </row>
    <row r="72" spans="1:5" x14ac:dyDescent="0.25">
      <c r="A72" s="25" t="s">
        <v>47</v>
      </c>
      <c r="E72" s="64">
        <f>E70/C51-1</f>
        <v>1.621840382606587</v>
      </c>
    </row>
    <row r="73" spans="1:5" x14ac:dyDescent="0.25">
      <c r="A73" s="25"/>
      <c r="E73" s="26"/>
    </row>
    <row r="74" spans="1:5" ht="16.5" thickBot="1" x14ac:dyDescent="0.3">
      <c r="A74" s="65" t="s">
        <v>48</v>
      </c>
      <c r="B74" s="66"/>
      <c r="C74" s="66"/>
      <c r="D74" s="66"/>
      <c r="E74" s="104">
        <f>(E70/C51)^(1/10)-1</f>
        <v>0.1011858567654671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2022-11-19T07:27:25Z</dcterms:modified>
</cp:coreProperties>
</file>