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40A220EA-E182-4A1E-8110-EDB8FA0DFDDC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34" l="1"/>
  <c r="H18" i="34" s="1"/>
  <c r="I18" i="34" s="1"/>
  <c r="J18" i="34" s="1"/>
  <c r="K18" i="34" s="1"/>
  <c r="L18" i="34" s="1"/>
  <c r="M18" i="34" s="1"/>
  <c r="N18" i="34" s="1"/>
  <c r="O18" i="34" s="1"/>
  <c r="P18" i="34" s="1"/>
  <c r="C14" i="32"/>
  <c r="D14" i="32"/>
  <c r="E14" i="32"/>
  <c r="F14" i="32"/>
  <c r="G14" i="32"/>
  <c r="H14" i="32"/>
  <c r="I14" i="32"/>
  <c r="J57" i="35" l="1"/>
  <c r="I57" i="35"/>
  <c r="H57" i="35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G17" i="35" l="1"/>
  <c r="I19" i="35"/>
  <c r="H19" i="35"/>
  <c r="G19" i="35"/>
  <c r="H17" i="35"/>
  <c r="I17" i="35" l="1"/>
  <c r="D14" i="34" l="1"/>
  <c r="E14" i="34"/>
  <c r="F14" i="34"/>
  <c r="G14" i="34"/>
  <c r="H14" i="34"/>
  <c r="I14" i="34"/>
  <c r="C14" i="34"/>
  <c r="D50" i="34" l="1"/>
  <c r="D50" i="32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H16" i="35" s="1"/>
  <c r="G14" i="35"/>
  <c r="G16" i="35" s="1"/>
  <c r="I14" i="35" l="1"/>
  <c r="I16" i="35" s="1"/>
  <c r="J11" i="35"/>
  <c r="J14" i="35" l="1"/>
  <c r="K11" i="35"/>
  <c r="J15" i="35" l="1"/>
  <c r="L11" i="35"/>
  <c r="K14" i="35"/>
  <c r="K15" i="35" s="1"/>
  <c r="K57" i="35" l="1"/>
  <c r="J19" i="35"/>
  <c r="J17" i="35"/>
  <c r="J16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D42" i="35" s="1"/>
  <c r="P14" i="35"/>
  <c r="P15" i="35" s="1"/>
  <c r="D40" i="35" l="1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D52" i="35" l="1"/>
  <c r="E70" i="35"/>
  <c r="E72" i="35" l="1"/>
  <c r="E74" i="35"/>
  <c r="J11" i="32"/>
  <c r="K11" i="32" s="1"/>
  <c r="L11" i="32" l="1"/>
  <c r="K14" i="32"/>
  <c r="K15" i="32" s="1"/>
  <c r="J14" i="32"/>
  <c r="J15" i="32" l="1"/>
  <c r="J16" i="32" s="1"/>
  <c r="M11" i="32"/>
  <c r="L14" i="32"/>
  <c r="L15" i="32" s="1"/>
  <c r="K19" i="32"/>
  <c r="L57" i="32"/>
  <c r="K17" i="32"/>
  <c r="J19" i="32" l="1"/>
  <c r="J17" i="32"/>
  <c r="K57" i="32"/>
  <c r="L17" i="32"/>
  <c r="L19" i="32"/>
  <c r="M57" i="32"/>
  <c r="M14" i="32"/>
  <c r="M15" i="32" s="1"/>
  <c r="N11" i="32"/>
  <c r="M19" i="32" l="1"/>
  <c r="M17" i="32"/>
  <c r="N57" i="32"/>
  <c r="N14" i="32"/>
  <c r="N15" i="32" s="1"/>
  <c r="O11" i="32"/>
  <c r="P11" i="32" l="1"/>
  <c r="O14" i="32"/>
  <c r="O15" i="32" s="1"/>
  <c r="O57" i="32"/>
  <c r="N19" i="32"/>
  <c r="N17" i="32"/>
  <c r="O19" i="32" l="1"/>
  <c r="P57" i="32"/>
  <c r="O17" i="32"/>
  <c r="Q11" i="32"/>
  <c r="Q14" i="32" s="1"/>
  <c r="Q15" i="32" s="1"/>
  <c r="D44" i="32" s="1"/>
  <c r="P14" i="32"/>
  <c r="P15" i="32" s="1"/>
  <c r="D41" i="32" l="1"/>
  <c r="D42" i="32"/>
  <c r="D40" i="32"/>
  <c r="D43" i="32"/>
  <c r="P19" i="32"/>
  <c r="P17" i="32"/>
  <c r="Q19" i="32"/>
  <c r="Q57" i="32"/>
  <c r="D57" i="32" s="1"/>
  <c r="D49" i="32" l="1"/>
  <c r="D51" i="32" s="1"/>
  <c r="D53" i="32" s="1"/>
  <c r="E62" i="32"/>
  <c r="E66" i="32"/>
  <c r="E68" i="32" s="1"/>
  <c r="D52" i="32" l="1"/>
  <c r="E70" i="32"/>
  <c r="E74" i="32" l="1"/>
  <c r="E72" i="32"/>
  <c r="J11" i="34"/>
  <c r="K11" i="34" s="1"/>
  <c r="J14" i="34" l="1"/>
  <c r="J15" i="34"/>
  <c r="J16" i="34" s="1"/>
  <c r="L11" i="34"/>
  <c r="K14" i="34"/>
  <c r="K15" i="34" s="1"/>
  <c r="J17" i="34" l="1"/>
  <c r="J19" i="34"/>
  <c r="K57" i="34"/>
  <c r="L14" i="34"/>
  <c r="L15" i="34" s="1"/>
  <c r="M11" i="34"/>
  <c r="K19" i="34"/>
  <c r="L57" i="34"/>
  <c r="K17" i="34"/>
  <c r="M14" i="34" l="1"/>
  <c r="M15" i="34" s="1"/>
  <c r="N11" i="34"/>
  <c r="L17" i="34"/>
  <c r="M57" i="34"/>
  <c r="L19" i="34"/>
  <c r="N14" i="34" l="1"/>
  <c r="N15" i="34" s="1"/>
  <c r="O11" i="34"/>
  <c r="M17" i="34"/>
  <c r="N57" i="34"/>
  <c r="M19" i="34"/>
  <c r="P11" i="34" l="1"/>
  <c r="O14" i="34"/>
  <c r="O15" i="34" s="1"/>
  <c r="N19" i="34"/>
  <c r="N17" i="34"/>
  <c r="O57" i="34"/>
  <c r="O17" i="34" l="1"/>
  <c r="P57" i="34"/>
  <c r="O19" i="34"/>
  <c r="P14" i="34"/>
  <c r="P15" i="34" s="1"/>
  <c r="D40" i="34" s="1"/>
  <c r="Q11" i="34"/>
  <c r="Q14" i="34" s="1"/>
  <c r="Q15" i="34" s="1"/>
  <c r="D44" i="34" l="1"/>
  <c r="P19" i="34"/>
  <c r="P17" i="34"/>
  <c r="D41" i="34"/>
  <c r="D42" i="34"/>
  <c r="D43" i="34"/>
  <c r="Q57" i="34"/>
  <c r="D57" i="34" s="1"/>
  <c r="Q19" i="34"/>
  <c r="D49" i="34" l="1"/>
  <c r="D51" i="34" s="1"/>
  <c r="D52" i="34" s="1"/>
  <c r="E62" i="34"/>
  <c r="E66" i="34"/>
  <c r="E68" i="34" s="1"/>
  <c r="D53" i="34" l="1"/>
  <c r="E70" i="34"/>
  <c r="E72" i="34" l="1"/>
  <c r="E74" i="34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<sst xmlns="http://schemas.openxmlformats.org/spreadsheetml/2006/main" count="149" uniqueCount="49">
  <si>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</si>
  <si>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</si>
  <si>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</si>
  <si>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</si>
  <si>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</si>
  <si>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</si>
  <si>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</si>
  <si>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</si>
  <si>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</si>
  <si>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</si>
  <si>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</si>
  <si>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</si>
  <si>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</si>
  <si>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</si>
  <si>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</si>
  <si>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</si>
  <si>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</si>
  <si>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</si>
  <si>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</si>
  <si>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</si>
  <si>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</si>
  <si>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</si>
  <si>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</si>
  <si>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</si>
  <si>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</si>
  <si>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</si>
  <si>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</si>
  <si>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</si>
  <si>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</si>
  <si>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</si>
  <si>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</si>
  <si>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</si>
  <si>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</si>
  <si>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</si>
  <si>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</si>
  <si>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</si>
  <si>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</si>
  <si>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</si>
  <si>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</si>
  <si>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</si>
  <si>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</si>
  <si>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Quellensteuer USA (25 %)</t>
  </si>
  <si>
    <t>KGV Multiple in 2031</t>
  </si>
  <si>
    <t>Gesamtwert 2031</t>
  </si>
  <si>
    <t>Steigerung Gesamt bis 2031 in Prozent</t>
  </si>
  <si>
    <t>Renditeerwartung bis 2031 pro Jahr</t>
  </si>
  <si>
    <t>2032ff.</t>
  </si>
  <si>
    <t>USD</t>
  </si>
  <si>
    <t xml:space="preserve"> Annahmen für First Financial Bankshares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</si>
</sst>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zoomScaleNormal="100" workbookViewId="0">
      <selection activeCell="D4" sqref="D4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35">
      <c r="A11" s="5"/>
      <c r="B11" s="4" t="s">
        <v>4</v>
      </c>
      <c r="C11" s="84">
        <v>374.67</v>
      </c>
      <c r="D11" s="84">
        <v>397.2</v>
      </c>
      <c r="E11" s="84">
        <v>489.71</v>
      </c>
      <c r="F11" s="84">
        <v>512.28</v>
      </c>
      <c r="G11" s="74">
        <v>542.76</v>
      </c>
      <c r="H11" s="74">
        <v>564.74</v>
      </c>
      <c r="I11" s="74">
        <v>593</v>
      </c>
      <c r="J11" s="74">
        <f t="shared" ref="J11:Q11" si="0">I11*(1+J12)</f>
        <v>622.65</v>
      </c>
      <c r="K11" s="74">
        <f t="shared" si="0"/>
        <v>653.78250000000003</v>
      </c>
      <c r="L11" s="74">
        <f t="shared" si="0"/>
        <v>683.20271249999996</v>
      </c>
      <c r="M11" s="74">
        <f t="shared" si="0"/>
        <v>713.94683456249993</v>
      </c>
      <c r="N11" s="74">
        <f t="shared" si="0"/>
        <v>742.50470794499995</v>
      </c>
      <c r="O11" s="74">
        <f t="shared" si="0"/>
        <v>772.20489626279993</v>
      </c>
      <c r="P11" s="74">
        <f t="shared" si="0"/>
        <v>795.37104315068393</v>
      </c>
      <c r="Q11" s="74">
        <f t="shared" si="0"/>
        <v>807.30160879794414</v>
      </c>
    </row>
    <row r="12" spans="1:28" x14ac:dyDescent="0.35">
      <c r="A12" s="5"/>
      <c r="B12" s="4" t="s">
        <v>1</v>
      </c>
      <c r="C12" s="88"/>
      <c r="D12" s="91">
        <f t="shared" ref="D12:I12" si="1">D11/C11-1</f>
        <v>6.0132916966930905E-2</v>
      </c>
      <c r="E12" s="91">
        <f t="shared" si="1"/>
        <v>0.23290533736153063</v>
      </c>
      <c r="F12" s="91">
        <f t="shared" si="1"/>
        <v>4.6088501357946621E-2</v>
      </c>
      <c r="G12" s="87">
        <f t="shared" si="1"/>
        <v>5.9498711642070878E-2</v>
      </c>
      <c r="H12" s="87">
        <f t="shared" si="1"/>
        <v>4.0496720465767577E-2</v>
      </c>
      <c r="I12" s="87">
        <f t="shared" si="1"/>
        <v>5.0040726706094718E-2</v>
      </c>
      <c r="J12" s="87">
        <v>0.05</v>
      </c>
      <c r="K12" s="87">
        <v>0.05</v>
      </c>
      <c r="L12" s="73">
        <v>4.4999999999999998E-2</v>
      </c>
      <c r="M12" s="73">
        <v>4.4999999999999998E-2</v>
      </c>
      <c r="N12" s="73">
        <v>0.04</v>
      </c>
      <c r="O12" s="73">
        <v>0.04</v>
      </c>
      <c r="P12" s="73">
        <v>0.03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90">
        <v>0.48010000000000003</v>
      </c>
      <c r="D13" s="90">
        <v>0.50449999999999995</v>
      </c>
      <c r="E13" s="90">
        <v>0.49469999999999997</v>
      </c>
      <c r="F13" s="90">
        <v>0.53049999999999997</v>
      </c>
      <c r="G13" s="86">
        <v>0.55800000000000005</v>
      </c>
      <c r="H13" s="86">
        <v>0.5554</v>
      </c>
      <c r="I13" s="86">
        <v>0.55689999999999995</v>
      </c>
      <c r="J13" s="86">
        <v>0.55500000000000005</v>
      </c>
      <c r="K13" s="86">
        <v>0.55500000000000005</v>
      </c>
      <c r="L13" s="86">
        <v>0.55249999999999999</v>
      </c>
      <c r="M13" s="86">
        <v>0.55249999999999999</v>
      </c>
      <c r="N13" s="86">
        <v>0.55000000000000004</v>
      </c>
      <c r="O13" s="86">
        <v>0.55000000000000004</v>
      </c>
      <c r="P13" s="86">
        <v>0.55000000000000004</v>
      </c>
      <c r="Q13" s="86">
        <v>0.55000000000000004</v>
      </c>
    </row>
    <row r="14" spans="1:28" ht="17.149999999999999" customHeight="1" x14ac:dyDescent="0.35">
      <c r="A14" s="5"/>
      <c r="B14" s="4" t="s">
        <v>16</v>
      </c>
      <c r="C14" s="84">
        <f>C11*C13</f>
        <v>179.87906700000002</v>
      </c>
      <c r="D14" s="84">
        <f t="shared" ref="D14:I14" si="2">D11*D13</f>
        <v>200.38739999999999</v>
      </c>
      <c r="E14" s="84">
        <f t="shared" si="2"/>
        <v>242.25953699999997</v>
      </c>
      <c r="F14" s="84">
        <f t="shared" si="2"/>
        <v>271.76453999999995</v>
      </c>
      <c r="G14" s="74">
        <f t="shared" si="2"/>
        <v>302.86008000000004</v>
      </c>
      <c r="H14" s="74">
        <f t="shared" si="2"/>
        <v>313.65659600000004</v>
      </c>
      <c r="I14" s="74">
        <f t="shared" si="2"/>
        <v>330.24169999999998</v>
      </c>
      <c r="J14" s="74">
        <f>J11*J13</f>
        <v>345.57075000000003</v>
      </c>
      <c r="K14" s="74">
        <f t="shared" ref="K14:Q14" si="3">K11*K13</f>
        <v>362.84928750000006</v>
      </c>
      <c r="L14" s="74">
        <f t="shared" si="3"/>
        <v>377.46949865624998</v>
      </c>
      <c r="M14" s="74">
        <f t="shared" si="3"/>
        <v>394.45562609578121</v>
      </c>
      <c r="N14" s="74">
        <f t="shared" si="3"/>
        <v>408.37758936975001</v>
      </c>
      <c r="O14" s="74">
        <f t="shared" si="3"/>
        <v>424.71269294453998</v>
      </c>
      <c r="P14" s="74">
        <f t="shared" si="3"/>
        <v>437.45407373287622</v>
      </c>
      <c r="Q14" s="74">
        <f t="shared" si="3"/>
        <v>444.01588483886934</v>
      </c>
    </row>
    <row r="15" spans="1:28" x14ac:dyDescent="0.35">
      <c r="A15" s="102">
        <v>0.25</v>
      </c>
      <c r="B15" s="4" t="s">
        <v>39</v>
      </c>
      <c r="C15" s="84">
        <v>150.65480700000001</v>
      </c>
      <c r="D15" s="84">
        <v>164.79828000000001</v>
      </c>
      <c r="E15" s="84">
        <v>202.05434600000001</v>
      </c>
      <c r="F15" s="84">
        <v>227.55477599999998</v>
      </c>
      <c r="G15" s="74">
        <v>234.41804400000001</v>
      </c>
      <c r="H15" s="74">
        <v>244.70184200000003</v>
      </c>
      <c r="I15" s="74">
        <v>256.35390000000001</v>
      </c>
      <c r="J15" s="74">
        <f t="shared" ref="J15:Q15" si="4">J14*(1-$A$15)</f>
        <v>259.17806250000001</v>
      </c>
      <c r="K15" s="74">
        <f t="shared" si="4"/>
        <v>272.13696562500002</v>
      </c>
      <c r="L15" s="74">
        <f t="shared" si="4"/>
        <v>283.1021239921875</v>
      </c>
      <c r="M15" s="74">
        <f t="shared" si="4"/>
        <v>295.84171957183594</v>
      </c>
      <c r="N15" s="74">
        <f t="shared" si="4"/>
        <v>306.28319202731251</v>
      </c>
      <c r="O15" s="74">
        <f t="shared" si="4"/>
        <v>318.53451970840501</v>
      </c>
      <c r="P15" s="74">
        <f t="shared" si="4"/>
        <v>328.09055529965718</v>
      </c>
      <c r="Q15" s="74">
        <f t="shared" si="4"/>
        <v>333.01191362915199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0.8375338471151843</v>
      </c>
      <c r="D16" s="15">
        <f t="shared" si="5"/>
        <v>0.82239841427155613</v>
      </c>
      <c r="E16" s="15">
        <f t="shared" si="5"/>
        <v>0.8340408328279767</v>
      </c>
      <c r="F16" s="15">
        <f t="shared" si="5"/>
        <v>0.83732327992459954</v>
      </c>
      <c r="G16" s="15">
        <f t="shared" si="5"/>
        <v>0.77401433691756261</v>
      </c>
      <c r="H16" s="15">
        <f t="shared" si="5"/>
        <v>0.78015844436442205</v>
      </c>
      <c r="I16" s="15">
        <f t="shared" si="5"/>
        <v>0.77626144729753999</v>
      </c>
      <c r="J16" s="15">
        <f t="shared" si="5"/>
        <v>0.75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1.6381414675052413</v>
      </c>
      <c r="H17" s="74">
        <f t="shared" ref="H17:P17" si="6">H15/H18</f>
        <v>1.710005883997205</v>
      </c>
      <c r="I17" s="74">
        <f t="shared" si="6"/>
        <v>1.7914318658280923</v>
      </c>
      <c r="J17" s="74">
        <f t="shared" si="6"/>
        <v>1.8111674528301889</v>
      </c>
      <c r="K17" s="74">
        <f t="shared" si="6"/>
        <v>1.9017258254716982</v>
      </c>
      <c r="L17" s="74">
        <f t="shared" si="6"/>
        <v>1.9783516701061321</v>
      </c>
      <c r="M17" s="74">
        <f t="shared" si="6"/>
        <v>2.0673774952609083</v>
      </c>
      <c r="N17" s="74">
        <f t="shared" si="6"/>
        <v>2.1403437597995283</v>
      </c>
      <c r="O17" s="74">
        <f t="shared" si="6"/>
        <v>2.2259575101915097</v>
      </c>
      <c r="P17" s="74">
        <f t="shared" si="6"/>
        <v>2.2927362354972551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143.1</v>
      </c>
      <c r="H18" s="74">
        <f>G18*1</f>
        <v>143.1</v>
      </c>
      <c r="I18" s="74">
        <f t="shared" ref="I18:P18" si="7">H18*1</f>
        <v>143.1</v>
      </c>
      <c r="J18" s="74">
        <f t="shared" si="7"/>
        <v>143.1</v>
      </c>
      <c r="K18" s="74">
        <f t="shared" si="7"/>
        <v>143.1</v>
      </c>
      <c r="L18" s="74">
        <f t="shared" si="7"/>
        <v>143.1</v>
      </c>
      <c r="M18" s="74">
        <f t="shared" si="7"/>
        <v>143.1</v>
      </c>
      <c r="N18" s="74">
        <f t="shared" si="7"/>
        <v>143.1</v>
      </c>
      <c r="O18" s="74">
        <f t="shared" si="7"/>
        <v>143.1</v>
      </c>
      <c r="P18" s="74">
        <f t="shared" si="7"/>
        <v>143.1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215.16112345112435</v>
      </c>
      <c r="H19" s="53">
        <f>H15/(1+$C$55)^2</f>
        <v>206.14972954108859</v>
      </c>
      <c r="I19" s="53">
        <f>I15/(1+$C$55)^3</f>
        <v>198.22490808766759</v>
      </c>
      <c r="J19" s="53">
        <f>J15/(1+$C$55)^4</f>
        <v>183.94555624820782</v>
      </c>
      <c r="K19" s="53">
        <f>K15/(1+$C$55)^5</f>
        <v>177.27658013824524</v>
      </c>
      <c r="L19" s="53">
        <f>L15/(1+$C$55)^6</f>
        <v>169.26989320676498</v>
      </c>
      <c r="M19" s="53">
        <f>M15/(1+$C$55)^7</f>
        <v>162.35616191011414</v>
      </c>
      <c r="N19" s="53">
        <f>N15/(1+$C$55)^8</f>
        <v>154.27845744772338</v>
      </c>
      <c r="O19" s="53">
        <f>O15/(1+$C$55)^9</f>
        <v>147.26901858249866</v>
      </c>
      <c r="P19" s="53">
        <f>P15/(1+$C$55)^10</f>
        <v>139.22633239098084</v>
      </c>
      <c r="Q19" s="54">
        <f>(Q15/(C55-Q12))/(1+C55)^10</f>
        <v>1896.8419782126909</v>
      </c>
    </row>
    <row r="20" spans="1:18" x14ac:dyDescent="0.3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3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5.2000000000000018E-2</v>
      </c>
      <c r="J25" s="26"/>
    </row>
    <row r="26" spans="1:18" x14ac:dyDescent="0.3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3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35">
      <c r="A29" s="35"/>
      <c r="B29" s="36"/>
      <c r="C29" s="36"/>
      <c r="D29" s="39"/>
      <c r="F29" s="36"/>
      <c r="G29" s="95" t="s">
        <v>35</v>
      </c>
      <c r="H29" s="6"/>
      <c r="I29" s="96">
        <v>1.6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3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8.9500000000000024E-2</v>
      </c>
      <c r="J31" s="26" t="s">
        <v>32</v>
      </c>
    </row>
    <row r="32" spans="1:18" x14ac:dyDescent="0.35">
      <c r="A32" s="25"/>
      <c r="C32" s="41"/>
      <c r="E32" s="36"/>
      <c r="F32" s="36"/>
      <c r="G32" s="95"/>
      <c r="H32" s="6"/>
      <c r="I32" s="6"/>
      <c r="J32" s="26"/>
    </row>
    <row r="33" spans="1:10" x14ac:dyDescent="0.35">
      <c r="A33" s="25"/>
      <c r="G33" s="99" t="s">
        <v>34</v>
      </c>
      <c r="H33" s="100"/>
      <c r="I33" s="101">
        <f>I31</f>
        <v>8.9500000000000024E-2</v>
      </c>
      <c r="J33" s="26"/>
    </row>
    <row r="34" spans="1:10" x14ac:dyDescent="0.3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8.9500000000000024E-2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44912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4683.6629999999996</v>
      </c>
      <c r="D49" s="47">
        <f>SUM(G19:Q19)</f>
        <v>3649.9997392171063</v>
      </c>
      <c r="E49" s="46" t="s">
        <v>47</v>
      </c>
    </row>
    <row r="50" spans="1:17" x14ac:dyDescent="0.35">
      <c r="A50" s="45"/>
      <c r="B50" s="46" t="s">
        <v>11</v>
      </c>
      <c r="C50" s="56">
        <v>143.1</v>
      </c>
      <c r="D50" s="56">
        <f>C50</f>
        <v>143.1</v>
      </c>
      <c r="E50" s="46"/>
    </row>
    <row r="51" spans="1:17" x14ac:dyDescent="0.35">
      <c r="A51" s="45"/>
      <c r="B51" s="46" t="s">
        <v>13</v>
      </c>
      <c r="C51" s="89">
        <v>32.729999999999997</v>
      </c>
      <c r="D51" s="56">
        <f>D49/(D50)</f>
        <v>25.50663689180368</v>
      </c>
      <c r="E51" s="46" t="s">
        <v>47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0.2831954341466898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8.9500000000000024E-2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2777027.8562662187</v>
      </c>
      <c r="E57" s="46"/>
      <c r="F57" s="1" t="s">
        <v>23</v>
      </c>
      <c r="H57" s="1">
        <f>G15/(1+$B$57)</f>
        <v>211.56863176895305</v>
      </c>
      <c r="I57" s="1">
        <f>H15/(1+$B$57)^2</f>
        <v>199.3231389044559</v>
      </c>
      <c r="J57" s="1">
        <f>I15/(1+$B$57)^3</f>
        <v>188.46063396831067</v>
      </c>
      <c r="K57" s="1">
        <f>J15/(1+$B$57)^4</f>
        <v>171.96465683464311</v>
      </c>
      <c r="L57" s="1">
        <f>K15/(1+$B$57)^5</f>
        <v>162.96289681983325</v>
      </c>
      <c r="M57" s="1">
        <f>L15/(1+$B$57)^6</f>
        <v>153.00462730533215</v>
      </c>
      <c r="N57" s="1">
        <f>M15/(1+$B$57)^7</f>
        <v>144.30490571667156</v>
      </c>
      <c r="O57" s="1">
        <f>N15/(1+$B$57)^8</f>
        <v>134.83575815530997</v>
      </c>
      <c r="P57" s="1">
        <f>O15/(1+$B$57)^9</f>
        <v>126.56063942375664</v>
      </c>
      <c r="Q57" s="1">
        <f>(Q15/(B57-Q12))/(1+B57)^10</f>
        <v>1284.0419673689526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42</v>
      </c>
      <c r="B59" s="23"/>
      <c r="C59" s="69">
        <v>16</v>
      </c>
      <c r="D59" s="23"/>
      <c r="E59" s="24"/>
    </row>
    <row r="60" spans="1:17" x14ac:dyDescent="0.35">
      <c r="A60" s="25" t="s">
        <v>21</v>
      </c>
      <c r="C60" s="70"/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36.683779767956082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0.4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7.8228956665951035</v>
      </c>
    </row>
    <row r="67" spans="1:5" x14ac:dyDescent="0.35">
      <c r="A67" s="25"/>
      <c r="E67" s="61"/>
    </row>
    <row r="68" spans="1:5" x14ac:dyDescent="0.35">
      <c r="A68" s="62" t="s">
        <v>41</v>
      </c>
      <c r="E68" s="63">
        <f>(E66*0.25)*-1</f>
        <v>-1.9557239166487759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43</v>
      </c>
      <c r="E70" s="60">
        <f>SUM(E62:E68)</f>
        <v>42.550951517902405</v>
      </c>
    </row>
    <row r="71" spans="1:5" x14ac:dyDescent="0.35">
      <c r="A71" s="25"/>
      <c r="E71" s="60"/>
    </row>
    <row r="72" spans="1:5" x14ac:dyDescent="0.35">
      <c r="A72" s="25" t="s">
        <v>44</v>
      </c>
      <c r="E72" s="64">
        <f>E70/C51-1</f>
        <v>0.30005962474495607</v>
      </c>
    </row>
    <row r="73" spans="1:5" x14ac:dyDescent="0.35">
      <c r="A73" s="25"/>
      <c r="E73" s="26"/>
    </row>
    <row r="74" spans="1:5" ht="16" thickBot="1" x14ac:dyDescent="0.4">
      <c r="A74" s="65" t="s">
        <v>45</v>
      </c>
      <c r="B74" s="66"/>
      <c r="C74" s="66"/>
      <c r="D74" s="66"/>
      <c r="E74" s="104">
        <f>(E70/C51)^(1/10)-1</f>
        <v>2.6588339652224402E-2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B4" sqref="B4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35">
      <c r="A11" s="5"/>
      <c r="B11" s="4" t="s">
        <v>4</v>
      </c>
      <c r="C11" s="84">
        <v>374.67</v>
      </c>
      <c r="D11" s="84">
        <v>397.2</v>
      </c>
      <c r="E11" s="84">
        <v>489.71</v>
      </c>
      <c r="F11" s="84">
        <v>512.28</v>
      </c>
      <c r="G11" s="74">
        <v>542.76</v>
      </c>
      <c r="H11" s="74">
        <v>564.74</v>
      </c>
      <c r="I11" s="74">
        <v>593</v>
      </c>
      <c r="J11" s="74">
        <f t="shared" ref="J11:Q11" si="0">I11*(1+J12)</f>
        <v>634.51</v>
      </c>
      <c r="K11" s="74">
        <f t="shared" si="0"/>
        <v>691.61590000000001</v>
      </c>
      <c r="L11" s="74">
        <f t="shared" si="0"/>
        <v>774.60980800000004</v>
      </c>
      <c r="M11" s="74">
        <f t="shared" si="0"/>
        <v>852.07078880000017</v>
      </c>
      <c r="N11" s="74">
        <f t="shared" si="0"/>
        <v>920.23645190400021</v>
      </c>
      <c r="O11" s="74">
        <f t="shared" si="0"/>
        <v>966.24827449920031</v>
      </c>
      <c r="P11" s="74">
        <f t="shared" si="0"/>
        <v>1004.8982054791684</v>
      </c>
      <c r="Q11" s="74">
        <f t="shared" si="0"/>
        <v>1024.9961695887519</v>
      </c>
    </row>
    <row r="12" spans="1:28" x14ac:dyDescent="0.35">
      <c r="A12" s="5"/>
      <c r="B12" s="4" t="s">
        <v>1</v>
      </c>
      <c r="C12" s="88"/>
      <c r="D12" s="91">
        <f t="shared" ref="D12:I12" si="1">D11/C11-1</f>
        <v>6.0132916966930905E-2</v>
      </c>
      <c r="E12" s="91">
        <f t="shared" si="1"/>
        <v>0.23290533736153063</v>
      </c>
      <c r="F12" s="91">
        <f t="shared" si="1"/>
        <v>4.6088501357946621E-2</v>
      </c>
      <c r="G12" s="87">
        <f t="shared" si="1"/>
        <v>5.9498711642070878E-2</v>
      </c>
      <c r="H12" s="87">
        <f t="shared" si="1"/>
        <v>4.0496720465767577E-2</v>
      </c>
      <c r="I12" s="87">
        <f t="shared" si="1"/>
        <v>5.0040726706094718E-2</v>
      </c>
      <c r="J12" s="87">
        <v>7.0000000000000007E-2</v>
      </c>
      <c r="K12" s="87">
        <v>0.09</v>
      </c>
      <c r="L12" s="73">
        <v>0.12</v>
      </c>
      <c r="M12" s="73">
        <v>0.1</v>
      </c>
      <c r="N12" s="73">
        <v>0.08</v>
      </c>
      <c r="O12" s="73">
        <v>0.05</v>
      </c>
      <c r="P12" s="73">
        <v>0.04</v>
      </c>
      <c r="Q12" s="12">
        <v>0.02</v>
      </c>
    </row>
    <row r="13" spans="1:28" ht="16" customHeight="1" x14ac:dyDescent="0.35">
      <c r="A13" s="5"/>
      <c r="B13" s="4" t="s">
        <v>15</v>
      </c>
      <c r="C13" s="90">
        <v>0.48010000000000003</v>
      </c>
      <c r="D13" s="90">
        <v>0.50449999999999995</v>
      </c>
      <c r="E13" s="90">
        <v>0.49469999999999997</v>
      </c>
      <c r="F13" s="90">
        <v>0.53049999999999997</v>
      </c>
      <c r="G13" s="86">
        <v>0.55800000000000005</v>
      </c>
      <c r="H13" s="86">
        <v>0.5554</v>
      </c>
      <c r="I13" s="86">
        <v>0.55689999999999995</v>
      </c>
      <c r="J13" s="86">
        <v>0.56000000000000005</v>
      </c>
      <c r="K13" s="86">
        <v>0.56000000000000005</v>
      </c>
      <c r="L13" s="86">
        <v>0.56499999999999995</v>
      </c>
      <c r="M13" s="86">
        <v>0.56499999999999995</v>
      </c>
      <c r="N13" s="86">
        <v>0.56999999999999995</v>
      </c>
      <c r="O13" s="86">
        <v>0.56999999999999995</v>
      </c>
      <c r="P13" s="86">
        <v>0.56999999999999995</v>
      </c>
      <c r="Q13" s="86">
        <v>0.56999999999999995</v>
      </c>
    </row>
    <row r="14" spans="1:28" ht="17.149999999999999" customHeight="1" x14ac:dyDescent="0.35">
      <c r="A14" s="5"/>
      <c r="B14" s="4" t="s">
        <v>16</v>
      </c>
      <c r="C14" s="84">
        <f>C11*C13</f>
        <v>179.87906700000002</v>
      </c>
      <c r="D14" s="84">
        <f t="shared" ref="D14:J14" si="2">D11*D13</f>
        <v>200.38739999999999</v>
      </c>
      <c r="E14" s="84">
        <f t="shared" si="2"/>
        <v>242.25953699999997</v>
      </c>
      <c r="F14" s="84">
        <f t="shared" si="2"/>
        <v>271.76453999999995</v>
      </c>
      <c r="G14" s="74">
        <f t="shared" si="2"/>
        <v>302.86008000000004</v>
      </c>
      <c r="H14" s="74">
        <f t="shared" si="2"/>
        <v>313.65659600000004</v>
      </c>
      <c r="I14" s="74">
        <f t="shared" si="2"/>
        <v>330.24169999999998</v>
      </c>
      <c r="J14" s="74">
        <f t="shared" si="2"/>
        <v>355.32560000000001</v>
      </c>
      <c r="K14" s="74">
        <f t="shared" ref="K14:Q14" si="3">K11*K13</f>
        <v>387.30490400000002</v>
      </c>
      <c r="L14" s="74">
        <f t="shared" si="3"/>
        <v>437.65454152000001</v>
      </c>
      <c r="M14" s="74">
        <f t="shared" si="3"/>
        <v>481.41999567200003</v>
      </c>
      <c r="N14" s="74">
        <f t="shared" si="3"/>
        <v>524.53477758528004</v>
      </c>
      <c r="O14" s="74">
        <f>O11*O13</f>
        <v>550.76151646454412</v>
      </c>
      <c r="P14" s="74">
        <f t="shared" si="3"/>
        <v>572.79197712312589</v>
      </c>
      <c r="Q14" s="74">
        <f t="shared" si="3"/>
        <v>584.24781666558852</v>
      </c>
    </row>
    <row r="15" spans="1:28" x14ac:dyDescent="0.35">
      <c r="A15" s="102">
        <v>0.2</v>
      </c>
      <c r="B15" s="4" t="s">
        <v>39</v>
      </c>
      <c r="C15" s="84">
        <v>150.65480700000001</v>
      </c>
      <c r="D15" s="84">
        <v>164.79828000000001</v>
      </c>
      <c r="E15" s="84">
        <v>202.05434600000001</v>
      </c>
      <c r="F15" s="84">
        <v>227.55477599999998</v>
      </c>
      <c r="G15" s="74">
        <v>234.41804400000001</v>
      </c>
      <c r="H15" s="74">
        <v>244.70184200000003</v>
      </c>
      <c r="I15" s="74">
        <v>256.35390000000001</v>
      </c>
      <c r="J15" s="74">
        <f>J14*(1-$A$15)</f>
        <v>284.26048000000003</v>
      </c>
      <c r="K15" s="74">
        <f>K14*(1-$A$15)</f>
        <v>309.84392320000006</v>
      </c>
      <c r="L15" s="74">
        <f t="shared" ref="L15:Q15" si="4">L14*(1-$A$15)</f>
        <v>350.12363321600003</v>
      </c>
      <c r="M15" s="74">
        <f t="shared" si="4"/>
        <v>385.13599653760002</v>
      </c>
      <c r="N15" s="74">
        <f t="shared" si="4"/>
        <v>419.62782206822408</v>
      </c>
      <c r="O15" s="74">
        <f>O14*(1-$A$15)</f>
        <v>440.6092131716353</v>
      </c>
      <c r="P15" s="74">
        <f t="shared" si="4"/>
        <v>458.23358169850076</v>
      </c>
      <c r="Q15" s="74">
        <f t="shared" si="4"/>
        <v>467.39825333247086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0.8375338471151843</v>
      </c>
      <c r="D16" s="15">
        <f t="shared" si="5"/>
        <v>0.82239841427155613</v>
      </c>
      <c r="E16" s="15">
        <f t="shared" si="5"/>
        <v>0.8340408328279767</v>
      </c>
      <c r="F16" s="15">
        <f t="shared" si="5"/>
        <v>0.83732327992459954</v>
      </c>
      <c r="G16" s="15">
        <f t="shared" si="5"/>
        <v>0.77401433691756261</v>
      </c>
      <c r="H16" s="15">
        <f t="shared" si="5"/>
        <v>0.78015844436442205</v>
      </c>
      <c r="I16" s="15">
        <f t="shared" si="5"/>
        <v>0.77626144729753999</v>
      </c>
      <c r="J16" s="15">
        <f t="shared" si="5"/>
        <v>0.8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1.6381414675052413</v>
      </c>
      <c r="H17" s="74">
        <f t="shared" ref="H17:O17" si="6">H15/H18</f>
        <v>1.710005883997205</v>
      </c>
      <c r="I17" s="74">
        <f t="shared" si="6"/>
        <v>1.7914318658280923</v>
      </c>
      <c r="J17" s="74">
        <f t="shared" si="6"/>
        <v>1.9864464011180996</v>
      </c>
      <c r="K17" s="74">
        <f t="shared" si="6"/>
        <v>2.1652265772187289</v>
      </c>
      <c r="L17" s="74">
        <f t="shared" si="6"/>
        <v>2.446706032257163</v>
      </c>
      <c r="M17" s="74">
        <f t="shared" si="6"/>
        <v>2.6913766354828792</v>
      </c>
      <c r="N17" s="74">
        <f t="shared" si="6"/>
        <v>2.9324096580588686</v>
      </c>
      <c r="O17" s="74">
        <f t="shared" si="6"/>
        <v>3.0790301409618124</v>
      </c>
      <c r="P17" s="74">
        <f>P15/P18</f>
        <v>3.2021913466002849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143.1</v>
      </c>
      <c r="H18" s="74">
        <f>G18*1</f>
        <v>143.1</v>
      </c>
      <c r="I18" s="74">
        <f t="shared" ref="I18:P18" si="7">H18*1</f>
        <v>143.1</v>
      </c>
      <c r="J18" s="74">
        <f t="shared" si="7"/>
        <v>143.1</v>
      </c>
      <c r="K18" s="74">
        <f t="shared" si="7"/>
        <v>143.1</v>
      </c>
      <c r="L18" s="74">
        <f t="shared" si="7"/>
        <v>143.1</v>
      </c>
      <c r="M18" s="74">
        <f t="shared" si="7"/>
        <v>143.1</v>
      </c>
      <c r="N18" s="74">
        <f t="shared" si="7"/>
        <v>143.1</v>
      </c>
      <c r="O18" s="74">
        <f t="shared" si="7"/>
        <v>143.1</v>
      </c>
      <c r="P18" s="74">
        <f t="shared" si="7"/>
        <v>143.1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215.16112345112435</v>
      </c>
      <c r="H19" s="53">
        <f>H15/(1+$C$55)^2</f>
        <v>206.14972954108859</v>
      </c>
      <c r="I19" s="53">
        <f>I15/(1+$C$55)^3</f>
        <v>198.22490808766759</v>
      </c>
      <c r="J19" s="53">
        <f>J15/(1+$C$55)^4</f>
        <v>201.74721428432068</v>
      </c>
      <c r="K19" s="53">
        <f>K15/(1+$C$55)^5</f>
        <v>201.83980134915973</v>
      </c>
      <c r="L19" s="53">
        <f>L15/(1+$C$55)^6</f>
        <v>209.34279534148732</v>
      </c>
      <c r="M19" s="53">
        <f>M15/(1+$C$55)^7</f>
        <v>211.36032572339238</v>
      </c>
      <c r="N19" s="53">
        <f>N15/(1+$C$55)^8</f>
        <v>211.37148487423451</v>
      </c>
      <c r="O19" s="53">
        <f>O15/(1+$C$55)^9</f>
        <v>203.70817725373678</v>
      </c>
      <c r="P19" s="53">
        <f>P15/(1+$C$55)^10</f>
        <v>194.45296406047382</v>
      </c>
      <c r="Q19" s="54">
        <f>(Q15/(C55-Q12))/(1+C55)^10</f>
        <v>2853.842062470263</v>
      </c>
    </row>
    <row r="20" spans="1:18" x14ac:dyDescent="0.3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2">
        <f>(I27-I23)*I29</f>
        <v>5.2000000000000018E-2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81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81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81">
        <v>1.6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81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3">
        <f>I23+(I27-I23)*I29</f>
        <v>8.9500000000000024E-2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8" t="s">
        <v>34</v>
      </c>
      <c r="H33" s="22"/>
      <c r="I33" s="79">
        <f>I31</f>
        <v>8.9500000000000024E-2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8.9500000000000024E-2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44912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4683.6629999999996</v>
      </c>
      <c r="D49" s="47">
        <f>SUM(G19:Q19)</f>
        <v>4907.2005864369494</v>
      </c>
      <c r="E49" s="46" t="s">
        <v>47</v>
      </c>
    </row>
    <row r="50" spans="1:17" x14ac:dyDescent="0.35">
      <c r="A50" s="45"/>
      <c r="B50" s="46" t="s">
        <v>11</v>
      </c>
      <c r="C50" s="56">
        <v>143.1</v>
      </c>
      <c r="D50" s="56">
        <f>C50</f>
        <v>143.1</v>
      </c>
      <c r="E50" s="46"/>
    </row>
    <row r="51" spans="1:17" x14ac:dyDescent="0.35">
      <c r="A51" s="45"/>
      <c r="B51" s="46" t="s">
        <v>13</v>
      </c>
      <c r="C51" s="89">
        <v>32.729999999999997</v>
      </c>
      <c r="D51" s="56">
        <f>D49/(D50)</f>
        <v>34.29210752227079</v>
      </c>
      <c r="E51" s="46" t="s">
        <v>47</v>
      </c>
    </row>
    <row r="52" spans="1:17" x14ac:dyDescent="0.35">
      <c r="A52" s="45"/>
      <c r="B52" s="46" t="s">
        <v>2</v>
      </c>
      <c r="C52" s="46"/>
      <c r="D52" s="57">
        <f>IF(C51/D51-1&gt;0,0,C51/D51-1)*-1</f>
        <v>4.5552975163637655E-2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8.9500000000000024E-2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3615000.1708537648</v>
      </c>
      <c r="E57" s="46"/>
      <c r="F57" s="1" t="s">
        <v>23</v>
      </c>
      <c r="H57" s="1">
        <f>G15/(1+$B$57)</f>
        <v>211.56863176895305</v>
      </c>
      <c r="I57" s="1">
        <f>H15/(1+$B$57)^2</f>
        <v>199.3231389044559</v>
      </c>
      <c r="J57" s="1">
        <f>I15/(1+$B$57)^3</f>
        <v>188.46063396831067</v>
      </c>
      <c r="K57" s="1">
        <f>J15/(1+$B$57)^4</f>
        <v>188.60684204262438</v>
      </c>
      <c r="L57" s="1">
        <f>K15/(1+$B$57)^5</f>
        <v>185.54283197333987</v>
      </c>
      <c r="M57" s="1">
        <f>L15/(1+$B$57)^6</f>
        <v>189.226895424074</v>
      </c>
      <c r="N57" s="1">
        <f>M15/(1+$B$57)^7</f>
        <v>187.86063625133701</v>
      </c>
      <c r="O57" s="1">
        <f>N15/(1+$B$57)^8</f>
        <v>184.73372683991411</v>
      </c>
      <c r="P57" s="1">
        <f>O15/(1+$B$57)^9</f>
        <v>175.06354980316769</v>
      </c>
      <c r="Q57" s="1">
        <f>(Q15/(B57-Q12))/(1+B57)^10</f>
        <v>1904.6132838775879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42</v>
      </c>
      <c r="B59" s="23"/>
      <c r="C59" s="69">
        <v>27</v>
      </c>
      <c r="D59" s="23"/>
      <c r="E59" s="24"/>
    </row>
    <row r="60" spans="1:17" x14ac:dyDescent="0.35">
      <c r="A60" s="25" t="s">
        <v>21</v>
      </c>
      <c r="C60" s="70" t="s">
        <v>40</v>
      </c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86.459166358207696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0.45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10.639334704062769</v>
      </c>
    </row>
    <row r="67" spans="1:5" x14ac:dyDescent="0.35">
      <c r="A67" s="25"/>
      <c r="E67" s="61"/>
    </row>
    <row r="68" spans="1:5" x14ac:dyDescent="0.35">
      <c r="A68" s="62" t="s">
        <v>41</v>
      </c>
      <c r="E68" s="63">
        <f>(E66*0.25)*-1</f>
        <v>-2.6598336760156922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43</v>
      </c>
      <c r="E70" s="60">
        <f>SUM(E62:E68)</f>
        <v>94.438667386254764</v>
      </c>
    </row>
    <row r="71" spans="1:5" x14ac:dyDescent="0.35">
      <c r="A71" s="25"/>
      <c r="E71" s="60"/>
    </row>
    <row r="72" spans="1:5" x14ac:dyDescent="0.35">
      <c r="A72" s="25" t="s">
        <v>44</v>
      </c>
      <c r="E72" s="64">
        <f>E70/C51-1</f>
        <v>1.8853854991217469</v>
      </c>
    </row>
    <row r="73" spans="1:5" x14ac:dyDescent="0.35">
      <c r="A73" s="25"/>
      <c r="E73" s="26"/>
    </row>
    <row r="74" spans="1:5" ht="16" thickBot="1" x14ac:dyDescent="0.4">
      <c r="A74" s="65" t="s">
        <v>45</v>
      </c>
      <c r="B74" s="66"/>
      <c r="C74" s="66"/>
      <c r="D74" s="66"/>
      <c r="E74" s="104">
        <f>(E70/C51)^(1/10)-1</f>
        <v>0.11178390987337461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abSelected="1" zoomScaleNormal="100" workbookViewId="0">
      <selection activeCell="B4" sqref="B4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35">
      <c r="A11" s="5"/>
      <c r="B11" s="4" t="s">
        <v>4</v>
      </c>
      <c r="C11" s="84">
        <v>374.67</v>
      </c>
      <c r="D11" s="84">
        <v>397.2</v>
      </c>
      <c r="E11" s="84">
        <v>489.71</v>
      </c>
      <c r="F11" s="84">
        <v>512.28</v>
      </c>
      <c r="G11" s="74">
        <v>542.76</v>
      </c>
      <c r="H11" s="74">
        <v>564.74</v>
      </c>
      <c r="I11" s="74">
        <v>593</v>
      </c>
      <c r="J11" s="74">
        <f t="shared" ref="J11" si="0">I11*(1+J12)</f>
        <v>640.44000000000005</v>
      </c>
      <c r="K11" s="74">
        <f t="shared" ref="K11:Q11" si="1">J11*(1+K12)</f>
        <v>691.67520000000013</v>
      </c>
      <c r="L11" s="74">
        <f t="shared" si="1"/>
        <v>747.00921600000015</v>
      </c>
      <c r="M11" s="74">
        <f t="shared" si="1"/>
        <v>806.76995328000021</v>
      </c>
      <c r="N11" s="74">
        <f t="shared" si="1"/>
        <v>871.31154954240026</v>
      </c>
      <c r="O11" s="74">
        <f t="shared" si="1"/>
        <v>941.01647350579231</v>
      </c>
      <c r="P11" s="74">
        <f t="shared" si="1"/>
        <v>997.47746191613987</v>
      </c>
      <c r="Q11" s="74">
        <f t="shared" si="1"/>
        <v>1017.4270111544627</v>
      </c>
    </row>
    <row r="12" spans="1:28" x14ac:dyDescent="0.35">
      <c r="A12" s="5"/>
      <c r="B12" s="4" t="s">
        <v>1</v>
      </c>
      <c r="C12" s="88"/>
      <c r="D12" s="91">
        <f t="shared" ref="D12:F12" si="2">D11/C11-1</f>
        <v>6.0132916966930905E-2</v>
      </c>
      <c r="E12" s="91">
        <f t="shared" si="2"/>
        <v>0.23290533736153063</v>
      </c>
      <c r="F12" s="91">
        <f t="shared" si="2"/>
        <v>4.6088501357946621E-2</v>
      </c>
      <c r="G12" s="87">
        <v>0.08</v>
      </c>
      <c r="H12" s="87">
        <v>0.08</v>
      </c>
      <c r="I12" s="87">
        <v>0.08</v>
      </c>
      <c r="J12" s="87">
        <v>0.08</v>
      </c>
      <c r="K12" s="87">
        <v>0.08</v>
      </c>
      <c r="L12" s="87">
        <v>0.08</v>
      </c>
      <c r="M12" s="87">
        <v>0.08</v>
      </c>
      <c r="N12" s="87">
        <v>0.08</v>
      </c>
      <c r="O12" s="87">
        <v>0.08</v>
      </c>
      <c r="P12" s="87">
        <v>0.06</v>
      </c>
      <c r="Q12" s="12">
        <v>0.02</v>
      </c>
    </row>
    <row r="13" spans="1:28" ht="16" customHeight="1" x14ac:dyDescent="0.35">
      <c r="A13" s="5"/>
      <c r="B13" s="4" t="s">
        <v>15</v>
      </c>
      <c r="C13" s="90">
        <v>0.48010000000000003</v>
      </c>
      <c r="D13" s="90">
        <v>0.50449999999999995</v>
      </c>
      <c r="E13" s="90">
        <v>0.49469999999999997</v>
      </c>
      <c r="F13" s="90">
        <v>0.53049999999999997</v>
      </c>
      <c r="G13" s="86">
        <v>0.55800000000000005</v>
      </c>
      <c r="H13" s="86">
        <v>0.5554</v>
      </c>
      <c r="I13" s="86">
        <v>0.55689999999999995</v>
      </c>
      <c r="J13" s="86">
        <v>0.56000000000000005</v>
      </c>
      <c r="K13" s="86">
        <v>0.56000000000000005</v>
      </c>
      <c r="L13" s="86">
        <v>0.56499999999999995</v>
      </c>
      <c r="M13" s="86">
        <v>0.56499999999999995</v>
      </c>
      <c r="N13" s="86">
        <v>0.56999999999999995</v>
      </c>
      <c r="O13" s="86">
        <v>0.56999999999999995</v>
      </c>
      <c r="P13" s="86">
        <v>0.56999999999999995</v>
      </c>
      <c r="Q13" s="86">
        <v>0.56999999999999995</v>
      </c>
    </row>
    <row r="14" spans="1:28" ht="17.149999999999999" customHeight="1" x14ac:dyDescent="0.35">
      <c r="A14" s="5"/>
      <c r="B14" s="4" t="s">
        <v>16</v>
      </c>
      <c r="C14" s="84">
        <f>C11*C13</f>
        <v>179.87906700000002</v>
      </c>
      <c r="D14" s="84">
        <f t="shared" ref="D14:Q14" si="3">D11*D13</f>
        <v>200.38739999999999</v>
      </c>
      <c r="E14" s="84">
        <f t="shared" si="3"/>
        <v>242.25953699999997</v>
      </c>
      <c r="F14" s="84">
        <f t="shared" si="3"/>
        <v>271.76453999999995</v>
      </c>
      <c r="G14" s="74">
        <f t="shared" si="3"/>
        <v>302.86008000000004</v>
      </c>
      <c r="H14" s="74">
        <f t="shared" si="3"/>
        <v>313.65659600000004</v>
      </c>
      <c r="I14" s="74">
        <f t="shared" si="3"/>
        <v>330.24169999999998</v>
      </c>
      <c r="J14" s="74">
        <f t="shared" si="3"/>
        <v>358.64640000000009</v>
      </c>
      <c r="K14" s="74">
        <f t="shared" si="3"/>
        <v>387.33811200000014</v>
      </c>
      <c r="L14" s="74">
        <f t="shared" si="3"/>
        <v>422.06020704000002</v>
      </c>
      <c r="M14" s="74">
        <f t="shared" si="3"/>
        <v>455.82502360320007</v>
      </c>
      <c r="N14" s="74">
        <f t="shared" si="3"/>
        <v>496.64758323916811</v>
      </c>
      <c r="O14" s="74">
        <f>O11*O13</f>
        <v>536.37938989830161</v>
      </c>
      <c r="P14" s="74">
        <f t="shared" si="3"/>
        <v>568.5621532921997</v>
      </c>
      <c r="Q14" s="74">
        <f t="shared" si="3"/>
        <v>579.93339635804364</v>
      </c>
    </row>
    <row r="15" spans="1:28" x14ac:dyDescent="0.35">
      <c r="A15" s="102">
        <v>0.2</v>
      </c>
      <c r="B15" s="4" t="s">
        <v>39</v>
      </c>
      <c r="C15" s="84">
        <v>150.65480700000001</v>
      </c>
      <c r="D15" s="84">
        <v>164.79828000000001</v>
      </c>
      <c r="E15" s="84">
        <v>202.05434600000001</v>
      </c>
      <c r="F15" s="84">
        <v>227.55477599999998</v>
      </c>
      <c r="G15" s="74">
        <v>234.41804400000001</v>
      </c>
      <c r="H15" s="74">
        <v>244.70184200000003</v>
      </c>
      <c r="I15" s="74">
        <v>256.35390000000001</v>
      </c>
      <c r="J15" s="74">
        <f>J14*(1-$A$15)</f>
        <v>286.91712000000007</v>
      </c>
      <c r="K15" s="74">
        <f>K14*(1-$A$15)</f>
        <v>309.87048960000016</v>
      </c>
      <c r="L15" s="74">
        <f t="shared" ref="L15:Q15" si="4">L14*(1-$A$15)</f>
        <v>337.64816563200003</v>
      </c>
      <c r="M15" s="74">
        <f t="shared" si="4"/>
        <v>364.66001888256005</v>
      </c>
      <c r="N15" s="74">
        <f t="shared" si="4"/>
        <v>397.31806659133451</v>
      </c>
      <c r="O15" s="74">
        <f>O14*(1-$A$15)</f>
        <v>429.10351191864129</v>
      </c>
      <c r="P15" s="74">
        <f t="shared" si="4"/>
        <v>454.84972263375977</v>
      </c>
      <c r="Q15" s="74">
        <f t="shared" si="4"/>
        <v>463.94671708643494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0.8375338471151843</v>
      </c>
      <c r="D16" s="15">
        <f t="shared" si="5"/>
        <v>0.82239841427155613</v>
      </c>
      <c r="E16" s="15">
        <f t="shared" si="5"/>
        <v>0.8340408328279767</v>
      </c>
      <c r="F16" s="15">
        <f t="shared" si="5"/>
        <v>0.83732327992459954</v>
      </c>
      <c r="G16" s="15">
        <f t="shared" si="5"/>
        <v>0.77401433691756261</v>
      </c>
      <c r="H16" s="15">
        <f t="shared" si="5"/>
        <v>0.78015844436442205</v>
      </c>
      <c r="I16" s="15">
        <f t="shared" si="5"/>
        <v>0.77626144729753999</v>
      </c>
      <c r="J16" s="15">
        <f t="shared" si="5"/>
        <v>0.8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1.6381414675052413</v>
      </c>
      <c r="H17" s="74">
        <f t="shared" ref="H17:O17" si="6">H15/H18</f>
        <v>1.710005883997205</v>
      </c>
      <c r="I17" s="74">
        <f t="shared" si="6"/>
        <v>1.7914318658280923</v>
      </c>
      <c r="J17" s="74">
        <f t="shared" si="6"/>
        <v>2.0050113207547176</v>
      </c>
      <c r="K17" s="74">
        <f t="shared" si="6"/>
        <v>2.1654122264150955</v>
      </c>
      <c r="L17" s="74">
        <f t="shared" si="6"/>
        <v>2.3595259652830194</v>
      </c>
      <c r="M17" s="74">
        <f t="shared" si="6"/>
        <v>2.5482880425056607</v>
      </c>
      <c r="N17" s="74">
        <f t="shared" si="6"/>
        <v>2.7765064052504158</v>
      </c>
      <c r="O17" s="74">
        <f t="shared" si="6"/>
        <v>2.9986269176704492</v>
      </c>
      <c r="P17" s="74">
        <f>P15/P18</f>
        <v>3.1785445327306765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143.1</v>
      </c>
      <c r="H18" s="74">
        <f>G18*1</f>
        <v>143.1</v>
      </c>
      <c r="I18" s="74">
        <f t="shared" ref="I18:P18" si="7">H18*1</f>
        <v>143.1</v>
      </c>
      <c r="J18" s="74">
        <f t="shared" si="7"/>
        <v>143.1</v>
      </c>
      <c r="K18" s="74">
        <f t="shared" si="7"/>
        <v>143.1</v>
      </c>
      <c r="L18" s="74">
        <f t="shared" si="7"/>
        <v>143.1</v>
      </c>
      <c r="M18" s="74">
        <f t="shared" si="7"/>
        <v>143.1</v>
      </c>
      <c r="N18" s="74">
        <f t="shared" si="7"/>
        <v>143.1</v>
      </c>
      <c r="O18" s="74">
        <f t="shared" si="7"/>
        <v>143.1</v>
      </c>
      <c r="P18" s="74">
        <f t="shared" si="7"/>
        <v>143.1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215.16112345112435</v>
      </c>
      <c r="H19" s="53">
        <f>H15/(1+$C$55)^2</f>
        <v>206.14972954108859</v>
      </c>
      <c r="I19" s="53">
        <f>I15/(1+$C$55)^3</f>
        <v>198.22490808766759</v>
      </c>
      <c r="J19" s="53">
        <f>J15/(1+$C$55)^4</f>
        <v>203.63270226828632</v>
      </c>
      <c r="K19" s="53">
        <f>K15/(1+$C$55)^5</f>
        <v>201.85710734258765</v>
      </c>
      <c r="L19" s="53">
        <f>L15/(1+$C$55)^6</f>
        <v>201.88357519905415</v>
      </c>
      <c r="M19" s="53">
        <f>M15/(1+$C$55)^7</f>
        <v>200.12323195500545</v>
      </c>
      <c r="N19" s="53">
        <f>N15/(1+$C$55)^8</f>
        <v>200.13379782314917</v>
      </c>
      <c r="O19" s="53">
        <f>O15/(1+$C$55)^9</f>
        <v>198.38871193116205</v>
      </c>
      <c r="P19" s="53">
        <f>P15/(1+$C$55)^10</f>
        <v>193.01701206703234</v>
      </c>
      <c r="Q19" s="54">
        <f>(Q15/(C55-Q12))/(1+C55)^10</f>
        <v>2832.7676591132795</v>
      </c>
    </row>
    <row r="20" spans="1:18" x14ac:dyDescent="0.3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2">
        <f>(I27-I23)*I29</f>
        <v>5.2000000000000018E-2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81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81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81">
        <v>1.6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81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3">
        <f>I23+(I27-I23)*I29</f>
        <v>8.9500000000000024E-2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8" t="s">
        <v>34</v>
      </c>
      <c r="H33" s="22"/>
      <c r="I33" s="79">
        <f>I31</f>
        <v>8.9500000000000024E-2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8.9500000000000024E-2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44912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4683.6629999999996</v>
      </c>
      <c r="D49" s="47">
        <f>SUM(G19:Q19)</f>
        <v>4851.3395587794366</v>
      </c>
      <c r="E49" s="46" t="s">
        <v>47</v>
      </c>
    </row>
    <row r="50" spans="1:17" x14ac:dyDescent="0.35">
      <c r="A50" s="45"/>
      <c r="B50" s="46" t="s">
        <v>11</v>
      </c>
      <c r="C50" s="56">
        <v>143.1</v>
      </c>
      <c r="D50" s="56">
        <f>C50</f>
        <v>143.1</v>
      </c>
      <c r="E50" s="46"/>
    </row>
    <row r="51" spans="1:17" x14ac:dyDescent="0.35">
      <c r="A51" s="45"/>
      <c r="B51" s="46" t="s">
        <v>13</v>
      </c>
      <c r="C51" s="89">
        <v>32.729999999999997</v>
      </c>
      <c r="D51" s="56">
        <f>D49/(D50)</f>
        <v>33.901743946746592</v>
      </c>
      <c r="E51" s="46" t="s">
        <v>47</v>
      </c>
    </row>
    <row r="52" spans="1:17" x14ac:dyDescent="0.35">
      <c r="A52" s="45"/>
      <c r="B52" s="46" t="s">
        <v>2</v>
      </c>
      <c r="C52" s="46"/>
      <c r="D52" s="57">
        <f>IF(C51/D51-1&gt;0,0,C51/D51-1)*-1</f>
        <v>3.456294014217054E-2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8.9500000000000024E-2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3571590.8893758436</v>
      </c>
      <c r="E57" s="46"/>
      <c r="F57" s="1" t="s">
        <v>23</v>
      </c>
      <c r="H57" s="1">
        <f>G15/(1+$B$57)</f>
        <v>211.56863176895305</v>
      </c>
      <c r="I57" s="1">
        <f>H15/(1+$B$57)^2</f>
        <v>199.3231389044559</v>
      </c>
      <c r="J57" s="1">
        <f>I15/(1+$B$57)^3</f>
        <v>188.46063396831067</v>
      </c>
      <c r="K57" s="1">
        <f>J15/(1+$B$57)^4</f>
        <v>190.36952280937791</v>
      </c>
      <c r="L57" s="1">
        <f>K15/(1+$B$57)^5</f>
        <v>185.55874064452001</v>
      </c>
      <c r="M57" s="1">
        <f>L15/(1+$B$57)^6</f>
        <v>182.48443711527537</v>
      </c>
      <c r="N57" s="1">
        <f>M15/(1+$B$57)^7</f>
        <v>177.8729170437702</v>
      </c>
      <c r="O57" s="1">
        <f>N15/(1+$B$57)^8</f>
        <v>174.91225157685844</v>
      </c>
      <c r="P57" s="1">
        <f>O15/(1+$B$57)^9</f>
        <v>170.49208637455513</v>
      </c>
      <c r="Q57" s="1">
        <f>(Q15/(B57-Q12))/(1+B57)^10</f>
        <v>1890.5485291697671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42</v>
      </c>
      <c r="B59" s="23"/>
      <c r="C59" s="69">
        <v>25</v>
      </c>
      <c r="D59" s="23"/>
      <c r="E59" s="24"/>
    </row>
    <row r="60" spans="1:17" x14ac:dyDescent="0.35">
      <c r="A60" s="25" t="s">
        <v>21</v>
      </c>
      <c r="C60" s="70" t="s">
        <v>40</v>
      </c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79.463613318266908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0.45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10.42717258257326</v>
      </c>
    </row>
    <row r="67" spans="1:5" x14ac:dyDescent="0.35">
      <c r="A67" s="25"/>
      <c r="E67" s="61"/>
    </row>
    <row r="68" spans="1:5" x14ac:dyDescent="0.35">
      <c r="A68" s="62" t="s">
        <v>41</v>
      </c>
      <c r="E68" s="63">
        <f>(E66*0.25)*-1</f>
        <v>-2.6067931456433149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43</v>
      </c>
      <c r="E70" s="60">
        <f>SUM(E62:E68)</f>
        <v>87.283992755196863</v>
      </c>
    </row>
    <row r="71" spans="1:5" x14ac:dyDescent="0.35">
      <c r="A71" s="25"/>
      <c r="E71" s="60"/>
    </row>
    <row r="72" spans="1:5" x14ac:dyDescent="0.35">
      <c r="A72" s="25" t="s">
        <v>44</v>
      </c>
      <c r="E72" s="64">
        <f>E70/C51-1</f>
        <v>1.6667886573540138</v>
      </c>
    </row>
    <row r="73" spans="1:5" x14ac:dyDescent="0.35">
      <c r="A73" s="25"/>
      <c r="E73" s="26"/>
    </row>
    <row r="74" spans="1:5" ht="16" thickBot="1" x14ac:dyDescent="0.4">
      <c r="A74" s="65" t="s">
        <v>45</v>
      </c>
      <c r="B74" s="66"/>
      <c r="C74" s="66"/>
      <c r="D74" s="66"/>
      <c r="E74" s="104">
        <f>(E70/C51)^(1/10)-1</f>
        <v>0.10305929840618577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2022-12-17T06:47:44Z</dcterms:modified>
</cp:coreProperties>
</file>