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20F0379A-57DA-4CA6-A56D-1980C25A2EA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34" l="1"/>
  <c r="J18" i="34" s="1"/>
  <c r="K18" i="34" s="1"/>
  <c r="L18" i="34" s="1"/>
  <c r="M18" i="34" s="1"/>
  <c r="N18" i="34" s="1"/>
  <c r="O18" i="34" s="1"/>
  <c r="P18" i="34" s="1"/>
  <c r="H18" i="34"/>
  <c r="I18" i="35" l="1"/>
  <c r="J18" i="35" s="1"/>
  <c r="K18" i="35" s="1"/>
  <c r="L18" i="35" s="1"/>
  <c r="M18" i="35" s="1"/>
  <c r="N18" i="35" s="1"/>
  <c r="O18" i="35" s="1"/>
  <c r="P18" i="35" s="1"/>
  <c r="H18" i="35"/>
  <c r="J57" i="35" l="1"/>
  <c r="I57" i="35"/>
  <c r="H57" i="35"/>
  <c r="D50" i="35"/>
  <c r="C49" i="35"/>
  <c r="I31" i="35"/>
  <c r="I33" i="35" s="1"/>
  <c r="D46" i="35" s="1"/>
  <c r="C55" i="35" s="1"/>
  <c r="I25" i="35"/>
  <c r="G18" i="35"/>
  <c r="F14" i="35"/>
  <c r="F16" i="35" s="1"/>
  <c r="E14" i="35"/>
  <c r="E16" i="35" s="1"/>
  <c r="D14" i="35"/>
  <c r="D16" i="35" s="1"/>
  <c r="C14" i="35"/>
  <c r="C16" i="35" s="1"/>
  <c r="F12" i="35"/>
  <c r="E12" i="35"/>
  <c r="D12" i="35"/>
  <c r="G17" i="35" l="1"/>
  <c r="I19" i="35"/>
  <c r="H19" i="35"/>
  <c r="G19" i="35"/>
  <c r="H17" i="35"/>
  <c r="I17" i="35" l="1"/>
  <c r="D14" i="34" l="1"/>
  <c r="E14" i="34"/>
  <c r="F14" i="34"/>
  <c r="G14" i="34"/>
  <c r="H14" i="34"/>
  <c r="I14" i="34"/>
  <c r="C14" i="34"/>
  <c r="D50" i="34" l="1"/>
  <c r="D50" i="32"/>
  <c r="G18" i="34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H16" i="35" s="1"/>
  <c r="G14" i="35"/>
  <c r="G16" i="35" s="1"/>
  <c r="I14" i="35" l="1"/>
  <c r="I16" i="35" s="1"/>
  <c r="J11" i="35"/>
  <c r="J14" i="35" l="1"/>
  <c r="K11" i="35"/>
  <c r="J15" i="35" l="1"/>
  <c r="L11" i="35"/>
  <c r="K14" i="35"/>
  <c r="K15" i="35" s="1"/>
  <c r="K57" i="35" l="1"/>
  <c r="J19" i="35"/>
  <c r="J17" i="35"/>
  <c r="J16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D52" i="35" l="1"/>
  <c r="E70" i="35"/>
  <c r="E72" i="35" l="1"/>
  <c r="E74" i="35"/>
  <c r="J11" i="32"/>
  <c r="K11" i="32" s="1"/>
  <c r="J14" i="32" l="1"/>
  <c r="L11" i="32"/>
  <c r="K14" i="32"/>
  <c r="K15" i="32" s="1"/>
  <c r="J15" i="32" l="1"/>
  <c r="K19" i="32"/>
  <c r="L57" i="32"/>
  <c r="K17" i="32"/>
  <c r="M11" i="32"/>
  <c r="L14" i="32"/>
  <c r="L15" i="32" s="1"/>
  <c r="K57" i="32" l="1"/>
  <c r="J17" i="32"/>
  <c r="J19" i="32"/>
  <c r="J16" i="32"/>
  <c r="M57" i="32"/>
  <c r="L19" i="32"/>
  <c r="L17" i="32"/>
  <c r="M14" i="32"/>
  <c r="M15" i="32" s="1"/>
  <c r="N11" i="32"/>
  <c r="N57" i="32" l="1"/>
  <c r="M19" i="32"/>
  <c r="M17" i="32"/>
  <c r="O11" i="32"/>
  <c r="N14" i="32"/>
  <c r="N15" i="32" s="1"/>
  <c r="O14" i="32" l="1"/>
  <c r="O15" i="32" s="1"/>
  <c r="P11" i="32"/>
  <c r="N19" i="32"/>
  <c r="N17" i="32"/>
  <c r="O57" i="32"/>
  <c r="P14" i="32" l="1"/>
  <c r="P15" i="32" s="1"/>
  <c r="D40" i="32" s="1"/>
  <c r="Q11" i="32"/>
  <c r="Q14" i="32" s="1"/>
  <c r="Q15" i="32" s="1"/>
  <c r="D43" i="32" s="1"/>
  <c r="P57" i="32"/>
  <c r="O19" i="32"/>
  <c r="O17" i="32"/>
  <c r="D41" i="32"/>
  <c r="P19" i="32" l="1"/>
  <c r="P17" i="32"/>
  <c r="Q57" i="32"/>
  <c r="D57" i="32" s="1"/>
  <c r="Q19" i="32"/>
  <c r="D42" i="32"/>
  <c r="D44" i="32"/>
  <c r="D49" i="32" l="1"/>
  <c r="D51" i="32" s="1"/>
  <c r="D53" i="32" s="1"/>
  <c r="E62" i="32"/>
  <c r="E66" i="32"/>
  <c r="E68" i="32" s="1"/>
  <c r="D52" i="32" l="1"/>
  <c r="E70" i="32"/>
  <c r="E74" i="32" l="1"/>
  <c r="E72" i="32"/>
  <c r="J11" i="34"/>
  <c r="J14" i="34" s="1"/>
  <c r="J15" i="34" l="1"/>
  <c r="K11" i="34"/>
  <c r="J17" i="34" l="1"/>
  <c r="K57" i="34"/>
  <c r="J19" i="34"/>
  <c r="J16" i="34"/>
  <c r="L11" i="34"/>
  <c r="K14" i="34"/>
  <c r="K15" i="34" s="1"/>
  <c r="K19" i="34" l="1"/>
  <c r="L57" i="34"/>
  <c r="K17" i="34"/>
  <c r="M11" i="34"/>
  <c r="L14" i="34"/>
  <c r="L15" i="34" s="1"/>
  <c r="L17" i="34" l="1"/>
  <c r="L19" i="34"/>
  <c r="M57" i="34"/>
  <c r="M14" i="34"/>
  <c r="M15" i="34" s="1"/>
  <c r="N11" i="34"/>
  <c r="N57" i="34" l="1"/>
  <c r="M19" i="34"/>
  <c r="M17" i="34"/>
  <c r="O11" i="34"/>
  <c r="N14" i="34"/>
  <c r="N15" i="34" s="1"/>
  <c r="N19" i="34" l="1"/>
  <c r="N17" i="34"/>
  <c r="O57" i="34"/>
  <c r="O14" i="34"/>
  <c r="O15" i="34" s="1"/>
  <c r="P11" i="34"/>
  <c r="O17" i="34" l="1"/>
  <c r="P57" i="34"/>
  <c r="O19" i="34"/>
  <c r="P14" i="34"/>
  <c r="P15" i="34" s="1"/>
  <c r="Q11" i="34"/>
  <c r="Q14" i="34" s="1"/>
  <c r="Q15" i="34" s="1"/>
  <c r="Q57" i="34" l="1"/>
  <c r="D57" i="34" s="1"/>
  <c r="Q19" i="34"/>
  <c r="P19" i="34"/>
  <c r="P17" i="34"/>
  <c r="D43" i="34"/>
  <c r="D42" i="34"/>
  <c r="D41" i="34"/>
  <c r="D44" i="34"/>
  <c r="D40" i="34"/>
  <c r="D49" i="34" l="1"/>
  <c r="D51" i="34" s="1"/>
  <c r="E62" i="34"/>
  <c r="E66" i="34"/>
  <c r="E68" i="34" s="1"/>
  <c r="E70" i="34" l="1"/>
  <c r="D52" i="34"/>
  <c r="D53" i="34"/>
  <c r="E72" i="34" l="1"/>
  <c r="E74" i="34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<sst xmlns="http://schemas.openxmlformats.org/spreadsheetml/2006/main" count="149" uniqueCount="49">
  <si>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</si>
  <si>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</si>
  <si>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</si>
  <si>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</si>
  <si>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</si>
  <si>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</si>
  <si>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</si>
  <si>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</si>
  <si>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</si>
  <si>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</si>
  <si>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</si>
  <si>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</si>
  <si>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</si>
  <si>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</si>
  <si>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</si>
  <si>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</si>
  <si>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</si>
  <si>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</si>
  <si>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</si>
  <si>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</si>
  <si>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</si>
  <si>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</si>
  <si>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</si>
  <si>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</si>
  <si>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</si>
  <si>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</si>
  <si>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</si>
  <si>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</si>
  <si>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</si>
  <si>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</si>
  <si>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</si>
  <si>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</si>
  <si>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</si>
  <si>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</si>
  <si>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</si>
  <si>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</si>
  <si>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</si>
  <si>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</si>
  <si>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</si>
  <si>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</si>
  <si>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</si>
  <si>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Quellensteuer USA (25 %)</t>
  </si>
  <si>
    <t>KGV Multiple in 2031</t>
  </si>
  <si>
    <t>Gesamtwert 2031</t>
  </si>
  <si>
    <t>Steigerung Gesamt bis 2031 in Prozent</t>
  </si>
  <si>
    <t>Renditeerwartung bis 2031 pro Jahr</t>
  </si>
  <si>
    <t>2032ff.</t>
  </si>
  <si>
    <t>USD</t>
  </si>
  <si>
    <t xml:space="preserve"> Annahmen für HubSpot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</si>
</sst>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12332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26620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zoomScaleNormal="100" workbookViewId="0">
      <selection activeCell="C51" sqref="C51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48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46</v>
      </c>
    </row>
    <row r="11" spans="1:28" x14ac:dyDescent="0.35">
      <c r="A11" s="5"/>
      <c r="B11" s="4" t="s">
        <v>4</v>
      </c>
      <c r="C11" s="84">
        <v>512.98</v>
      </c>
      <c r="D11" s="84">
        <v>674.86</v>
      </c>
      <c r="E11" s="84">
        <v>883.03</v>
      </c>
      <c r="F11" s="84">
        <v>1300.6600000000001</v>
      </c>
      <c r="G11" s="74">
        <v>1706.33</v>
      </c>
      <c r="H11" s="74">
        <v>2058.8200000000002</v>
      </c>
      <c r="I11" s="74">
        <v>2546.46</v>
      </c>
      <c r="J11" s="74">
        <f t="shared" ref="J11:Q11" si="0">I11*(1+J12)</f>
        <v>2928.4289999999996</v>
      </c>
      <c r="K11" s="74">
        <f t="shared" si="0"/>
        <v>3279.8404799999998</v>
      </c>
      <c r="L11" s="74">
        <f t="shared" si="0"/>
        <v>3542.2277184</v>
      </c>
      <c r="M11" s="74">
        <f t="shared" si="0"/>
        <v>3790.1836586880004</v>
      </c>
      <c r="N11" s="74">
        <f t="shared" si="0"/>
        <v>4017.5946782092806</v>
      </c>
      <c r="O11" s="74">
        <f t="shared" si="0"/>
        <v>4218.4744121197446</v>
      </c>
      <c r="P11" s="74">
        <f t="shared" si="0"/>
        <v>4345.0286444833373</v>
      </c>
      <c r="Q11" s="74">
        <f t="shared" si="0"/>
        <v>4410.2040741505871</v>
      </c>
    </row>
    <row r="12" spans="1:28" x14ac:dyDescent="0.35">
      <c r="A12" s="5"/>
      <c r="B12" s="4" t="s">
        <v>1</v>
      </c>
      <c r="C12" s="88"/>
      <c r="D12" s="91">
        <f t="shared" ref="D12:I12" si="1">D11/C11-1</f>
        <v>0.31556785839603885</v>
      </c>
      <c r="E12" s="91">
        <f t="shared" si="1"/>
        <v>0.30846397771389622</v>
      </c>
      <c r="F12" s="91">
        <f t="shared" si="1"/>
        <v>0.47295108886447812</v>
      </c>
      <c r="G12" s="87">
        <f t="shared" si="1"/>
        <v>0.31189549920809423</v>
      </c>
      <c r="H12" s="87">
        <f t="shared" si="1"/>
        <v>0.20657786008568113</v>
      </c>
      <c r="I12" s="87">
        <f t="shared" si="1"/>
        <v>0.236854120321349</v>
      </c>
      <c r="J12" s="87">
        <v>0.15</v>
      </c>
      <c r="K12" s="87">
        <v>0.12</v>
      </c>
      <c r="L12" s="73">
        <v>0.08</v>
      </c>
      <c r="M12" s="73">
        <v>7.0000000000000007E-2</v>
      </c>
      <c r="N12" s="73">
        <v>0.06</v>
      </c>
      <c r="O12" s="73">
        <v>0.05</v>
      </c>
      <c r="P12" s="73">
        <v>0.03</v>
      </c>
      <c r="Q12" s="12">
        <v>1.4999999999999999E-2</v>
      </c>
    </row>
    <row r="13" spans="1:28" ht="16" customHeight="1" x14ac:dyDescent="0.35">
      <c r="A13" s="5"/>
      <c r="B13" s="4" t="s">
        <v>15</v>
      </c>
      <c r="C13" s="90">
        <v>-9.4100000000000003E-2</v>
      </c>
      <c r="D13" s="90">
        <v>-6.88E-2</v>
      </c>
      <c r="E13" s="90">
        <v>-5.7599999999999998E-2</v>
      </c>
      <c r="F13" s="90">
        <v>-4.0399999999999998E-2</v>
      </c>
      <c r="G13" s="86">
        <v>0.09</v>
      </c>
      <c r="H13" s="86">
        <v>8.4599999999999995E-2</v>
      </c>
      <c r="I13" s="86">
        <v>0.1017</v>
      </c>
      <c r="J13" s="86">
        <v>7.4999999999999997E-2</v>
      </c>
      <c r="K13" s="86">
        <v>0.1</v>
      </c>
      <c r="L13" s="86">
        <v>0.12</v>
      </c>
      <c r="M13" s="86">
        <v>0.14000000000000001</v>
      </c>
      <c r="N13" s="86">
        <v>0.16</v>
      </c>
      <c r="O13" s="86">
        <v>0.18</v>
      </c>
      <c r="P13" s="86">
        <v>0.2</v>
      </c>
      <c r="Q13" s="86">
        <v>0.2</v>
      </c>
    </row>
    <row r="14" spans="1:28" ht="17.149999999999999" customHeight="1" x14ac:dyDescent="0.35">
      <c r="A14" s="5"/>
      <c r="B14" s="4" t="s">
        <v>16</v>
      </c>
      <c r="C14" s="84">
        <f>C11*C13</f>
        <v>-48.271418000000004</v>
      </c>
      <c r="D14" s="84">
        <f t="shared" ref="D14:I14" si="2">D11*D13</f>
        <v>-46.430368000000001</v>
      </c>
      <c r="E14" s="84">
        <f t="shared" si="2"/>
        <v>-50.862527999999998</v>
      </c>
      <c r="F14" s="84">
        <f t="shared" si="2"/>
        <v>-52.546664</v>
      </c>
      <c r="G14" s="74">
        <f t="shared" si="2"/>
        <v>153.56969999999998</v>
      </c>
      <c r="H14" s="74">
        <f t="shared" si="2"/>
        <v>174.17617200000001</v>
      </c>
      <c r="I14" s="74">
        <f t="shared" si="2"/>
        <v>258.97498200000001</v>
      </c>
      <c r="J14" s="74">
        <f>J11*J13</f>
        <v>219.63217499999996</v>
      </c>
      <c r="K14" s="74">
        <f t="shared" ref="K14:Q14" si="3">K11*K13</f>
        <v>327.98404800000003</v>
      </c>
      <c r="L14" s="74">
        <f t="shared" si="3"/>
        <v>425.067326208</v>
      </c>
      <c r="M14" s="74">
        <f t="shared" si="3"/>
        <v>530.62571221632015</v>
      </c>
      <c r="N14" s="74">
        <f t="shared" si="3"/>
        <v>642.81514851348493</v>
      </c>
      <c r="O14" s="74">
        <f t="shared" si="3"/>
        <v>759.32539418155397</v>
      </c>
      <c r="P14" s="74">
        <f t="shared" si="3"/>
        <v>869.00572889666751</v>
      </c>
      <c r="Q14" s="74">
        <f t="shared" si="3"/>
        <v>882.04081483011748</v>
      </c>
    </row>
    <row r="15" spans="1:28" x14ac:dyDescent="0.35">
      <c r="A15" s="102">
        <v>0.2</v>
      </c>
      <c r="B15" s="4" t="s">
        <v>39</v>
      </c>
      <c r="C15" s="84">
        <v>-63.814712</v>
      </c>
      <c r="D15" s="84">
        <v>-53.718856000000002</v>
      </c>
      <c r="E15" s="84">
        <v>-85.035788999999994</v>
      </c>
      <c r="F15" s="84">
        <v>-77.779468000000008</v>
      </c>
      <c r="G15" s="74">
        <v>126.95095199999999</v>
      </c>
      <c r="H15" s="74">
        <v>145.35269199999999</v>
      </c>
      <c r="I15" s="74">
        <v>218.99555999999998</v>
      </c>
      <c r="J15" s="74">
        <f t="shared" ref="J15:Q15" si="4">J14*(1-$A$15)</f>
        <v>175.70573999999999</v>
      </c>
      <c r="K15" s="74">
        <f t="shared" si="4"/>
        <v>262.38723840000006</v>
      </c>
      <c r="L15" s="74">
        <f t="shared" si="4"/>
        <v>340.05386096640001</v>
      </c>
      <c r="M15" s="74">
        <f t="shared" si="4"/>
        <v>424.50056977305616</v>
      </c>
      <c r="N15" s="74">
        <f t="shared" si="4"/>
        <v>514.25211881078792</v>
      </c>
      <c r="O15" s="74">
        <f t="shared" si="4"/>
        <v>607.4603153452432</v>
      </c>
      <c r="P15" s="74">
        <f t="shared" si="4"/>
        <v>695.2045831173341</v>
      </c>
      <c r="Q15" s="74">
        <f t="shared" si="4"/>
        <v>705.63265186409399</v>
      </c>
    </row>
    <row r="16" spans="1:28" ht="31.5" hidden="1" thickBot="1" x14ac:dyDescent="0.4">
      <c r="A16" s="13" t="s">
        <v>6</v>
      </c>
      <c r="B16" s="14"/>
      <c r="C16" s="15">
        <f t="shared" ref="C16:J16" si="5">C15/C14</f>
        <v>1.3219978746014878</v>
      </c>
      <c r="D16" s="15">
        <f t="shared" si="5"/>
        <v>1.1569767441860466</v>
      </c>
      <c r="E16" s="15">
        <f t="shared" si="5"/>
        <v>1.671875</v>
      </c>
      <c r="F16" s="15">
        <f t="shared" si="5"/>
        <v>1.4801980198019804</v>
      </c>
      <c r="G16" s="15">
        <f t="shared" si="5"/>
        <v>0.82666666666666666</v>
      </c>
      <c r="H16" s="15">
        <f t="shared" si="5"/>
        <v>0.83451536643025992</v>
      </c>
      <c r="I16" s="15">
        <f t="shared" si="5"/>
        <v>0.84562438544739416</v>
      </c>
      <c r="J16" s="15">
        <f t="shared" si="5"/>
        <v>0.80000000000000016</v>
      </c>
    </row>
    <row r="17" spans="1:18" x14ac:dyDescent="0.35">
      <c r="A17" s="2" t="s">
        <v>36</v>
      </c>
      <c r="C17" s="84"/>
      <c r="D17" s="84"/>
      <c r="E17" s="84"/>
      <c r="F17" s="84"/>
      <c r="G17" s="74">
        <f>G15/G18</f>
        <v>2.7068433262260125</v>
      </c>
      <c r="H17" s="74">
        <f t="shared" ref="H17:P17" si="6">H15/H18</f>
        <v>3.0992045202558636</v>
      </c>
      <c r="I17" s="74">
        <f t="shared" si="6"/>
        <v>4.6694149253731343</v>
      </c>
      <c r="J17" s="74">
        <f t="shared" si="6"/>
        <v>3.7463910447761193</v>
      </c>
      <c r="K17" s="74">
        <f t="shared" si="6"/>
        <v>5.5946106268656735</v>
      </c>
      <c r="L17" s="74">
        <f t="shared" si="6"/>
        <v>7.2506153724179105</v>
      </c>
      <c r="M17" s="74">
        <f t="shared" si="6"/>
        <v>9.0511848565683621</v>
      </c>
      <c r="N17" s="74">
        <f t="shared" si="6"/>
        <v>10.964863940528527</v>
      </c>
      <c r="O17" s="74">
        <f t="shared" si="6"/>
        <v>12.952245529749323</v>
      </c>
      <c r="P17" s="74">
        <f t="shared" si="6"/>
        <v>14.823125439602007</v>
      </c>
      <c r="Q17" s="74"/>
    </row>
    <row r="18" spans="1:18" ht="31.5" thickBot="1" x14ac:dyDescent="0.4">
      <c r="A18" s="2" t="s">
        <v>38</v>
      </c>
      <c r="C18" s="84"/>
      <c r="D18" s="84"/>
      <c r="E18" s="84"/>
      <c r="F18" s="84"/>
      <c r="G18" s="74">
        <f>C50</f>
        <v>46.9</v>
      </c>
      <c r="H18" s="74">
        <f>G18*1</f>
        <v>46.9</v>
      </c>
      <c r="I18" s="74">
        <f t="shared" ref="I18:P18" si="7">H18*1</f>
        <v>46.9</v>
      </c>
      <c r="J18" s="74">
        <f t="shared" si="7"/>
        <v>46.9</v>
      </c>
      <c r="K18" s="74">
        <f t="shared" si="7"/>
        <v>46.9</v>
      </c>
      <c r="L18" s="74">
        <f t="shared" si="7"/>
        <v>46.9</v>
      </c>
      <c r="M18" s="74">
        <f t="shared" si="7"/>
        <v>46.9</v>
      </c>
      <c r="N18" s="74">
        <f t="shared" si="7"/>
        <v>46.9</v>
      </c>
      <c r="O18" s="74">
        <f t="shared" si="7"/>
        <v>46.9</v>
      </c>
      <c r="P18" s="74">
        <f t="shared" si="7"/>
        <v>46.9</v>
      </c>
      <c r="Q18" s="74"/>
    </row>
    <row r="19" spans="1:18" ht="16" thickBot="1" x14ac:dyDescent="0.4">
      <c r="A19" s="2"/>
      <c r="E19" s="51" t="s">
        <v>12</v>
      </c>
      <c r="F19" s="52"/>
      <c r="G19" s="53">
        <f>G15/(1+$C$55)</f>
        <v>115.48869865817601</v>
      </c>
      <c r="H19" s="53">
        <f>H15/(1+$C$55)^2</f>
        <v>120.29016786260648</v>
      </c>
      <c r="I19" s="53">
        <f>I15/(1+$C$55)^3</f>
        <v>164.87161306776889</v>
      </c>
      <c r="J19" s="53">
        <f>J15/(1+$C$55)^4</f>
        <v>120.33724158306724</v>
      </c>
      <c r="K19" s="53">
        <f>K15/(1+$C$55)^5</f>
        <v>163.47838444155602</v>
      </c>
      <c r="L19" s="53">
        <f>L15/(1+$C$55)^6</f>
        <v>192.73867294633297</v>
      </c>
      <c r="M19" s="53">
        <f>M15/(1+$C$55)^7</f>
        <v>218.87842625548245</v>
      </c>
      <c r="N19" s="53">
        <f>N15/(1+$C$55)^8</f>
        <v>241.21499134429197</v>
      </c>
      <c r="O19" s="53">
        <f>O15/(1+$C$55)^9</f>
        <v>259.20874098289278</v>
      </c>
      <c r="P19" s="53">
        <f>P15/(1+$C$55)^10</f>
        <v>269.86582084995285</v>
      </c>
      <c r="Q19" s="54">
        <f>(Q15/(C55-Q12))/(1+C55)^10</f>
        <v>3251.202470773912</v>
      </c>
    </row>
    <row r="20" spans="1:18" x14ac:dyDescent="0.3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3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3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6.1750000000000013E-2</v>
      </c>
      <c r="J25" s="26"/>
    </row>
    <row r="26" spans="1:18" x14ac:dyDescent="0.3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3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35">
      <c r="A29" s="35"/>
      <c r="B29" s="36"/>
      <c r="C29" s="36"/>
      <c r="D29" s="39"/>
      <c r="F29" s="36"/>
      <c r="G29" s="95" t="s">
        <v>35</v>
      </c>
      <c r="H29" s="6"/>
      <c r="I29" s="96">
        <v>1.9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3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9.9250000000000005E-2</v>
      </c>
      <c r="J31" s="26" t="s">
        <v>32</v>
      </c>
    </row>
    <row r="32" spans="1:18" x14ac:dyDescent="0.35">
      <c r="A32" s="25"/>
      <c r="C32" s="41"/>
      <c r="E32" s="36"/>
      <c r="F32" s="36"/>
      <c r="G32" s="95"/>
      <c r="H32" s="6"/>
      <c r="I32" s="6"/>
      <c r="J32" s="26"/>
    </row>
    <row r="33" spans="1:10" x14ac:dyDescent="0.35">
      <c r="A33" s="25"/>
      <c r="G33" s="99" t="s">
        <v>34</v>
      </c>
      <c r="H33" s="100"/>
      <c r="I33" s="101">
        <f>I31</f>
        <v>9.9250000000000005E-2</v>
      </c>
      <c r="J33" s="26"/>
    </row>
    <row r="34" spans="1:10" x14ac:dyDescent="0.3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5">
        <v>44926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13560.197</v>
      </c>
      <c r="D49" s="47">
        <f>SUM(G19:Q19)</f>
        <v>5117.5752287660398</v>
      </c>
      <c r="E49" s="46" t="s">
        <v>47</v>
      </c>
    </row>
    <row r="50" spans="1:17" x14ac:dyDescent="0.35">
      <c r="A50" s="45"/>
      <c r="B50" s="46" t="s">
        <v>11</v>
      </c>
      <c r="C50" s="56">
        <v>46.9</v>
      </c>
      <c r="D50" s="56">
        <f>C50</f>
        <v>46.9</v>
      </c>
      <c r="E50" s="46"/>
    </row>
    <row r="51" spans="1:17" x14ac:dyDescent="0.35">
      <c r="A51" s="45"/>
      <c r="B51" s="46" t="s">
        <v>13</v>
      </c>
      <c r="C51" s="89">
        <v>289.13</v>
      </c>
      <c r="D51" s="56">
        <f>D49/(D50)</f>
        <v>109.11674261761279</v>
      </c>
      <c r="E51" s="46" t="s">
        <v>47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1.649730857648704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9.9250000000000005E-2</v>
      </c>
      <c r="D55" s="49"/>
      <c r="E55" s="46"/>
      <c r="J55" s="72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5">
        <v>0.108</v>
      </c>
      <c r="C57" s="50"/>
      <c r="D57" s="76">
        <f>SUM(H57:Q57)*1000</f>
        <v>4247079.3398784613</v>
      </c>
      <c r="E57" s="46"/>
      <c r="F57" s="1" t="s">
        <v>23</v>
      </c>
      <c r="H57" s="1">
        <f>G15/(1+$B$57)</f>
        <v>114.57667148014438</v>
      </c>
      <c r="I57" s="1">
        <f>H15/(1+$B$57)^2</f>
        <v>118.39777984855787</v>
      </c>
      <c r="J57" s="1">
        <f>I15/(1+$B$57)^3</f>
        <v>160.99634947564758</v>
      </c>
      <c r="K57" s="1">
        <f>J15/(1+$B$57)^4</f>
        <v>116.58076687326505</v>
      </c>
      <c r="L57" s="1">
        <f>K15/(1+$B$57)^5</f>
        <v>157.12449927564006</v>
      </c>
      <c r="M57" s="1">
        <f>L15/(1+$B$57)^6</f>
        <v>183.7846128711457</v>
      </c>
      <c r="N57" s="1">
        <f>M15/(1+$B$57)^7</f>
        <v>207.0617855603011</v>
      </c>
      <c r="O57" s="1">
        <f>N15/(1+$B$57)^8</f>
        <v>226.39039989058179</v>
      </c>
      <c r="P57" s="1">
        <f>O15/(1+$B$57)^9</f>
        <v>241.35709374616397</v>
      </c>
      <c r="Q57" s="1">
        <f>(Q15/(B57-Q12))/(1+B57)^10</f>
        <v>2720.8093808570143</v>
      </c>
    </row>
    <row r="58" spans="1:17" ht="16" thickBot="1" x14ac:dyDescent="0.4">
      <c r="A58" s="22"/>
      <c r="C58" s="67"/>
      <c r="D58" s="68"/>
    </row>
    <row r="59" spans="1:17" x14ac:dyDescent="0.35">
      <c r="A59" s="59" t="s">
        <v>42</v>
      </c>
      <c r="B59" s="23"/>
      <c r="C59" s="69">
        <v>20</v>
      </c>
      <c r="D59" s="23"/>
      <c r="E59" s="24"/>
    </row>
    <row r="60" spans="1:17" x14ac:dyDescent="0.35">
      <c r="A60" s="25" t="s">
        <v>21</v>
      </c>
      <c r="C60" s="70"/>
      <c r="E60" s="26"/>
    </row>
    <row r="61" spans="1:17" x14ac:dyDescent="0.35">
      <c r="A61" s="25"/>
      <c r="C61" s="70"/>
      <c r="E61" s="26"/>
    </row>
    <row r="62" spans="1:17" x14ac:dyDescent="0.35">
      <c r="A62" s="25" t="s">
        <v>37</v>
      </c>
      <c r="C62" s="70"/>
      <c r="E62" s="60">
        <f>P17*C59</f>
        <v>296.46250879204013</v>
      </c>
    </row>
    <row r="63" spans="1:17" x14ac:dyDescent="0.35">
      <c r="A63" s="25"/>
      <c r="C63" s="70"/>
      <c r="E63" s="26"/>
    </row>
    <row r="64" spans="1:17" x14ac:dyDescent="0.35">
      <c r="A64" s="25" t="s">
        <v>17</v>
      </c>
      <c r="C64" s="71">
        <v>0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0</v>
      </c>
    </row>
    <row r="67" spans="1:5" x14ac:dyDescent="0.35">
      <c r="A67" s="25"/>
      <c r="E67" s="61"/>
    </row>
    <row r="68" spans="1:5" x14ac:dyDescent="0.35">
      <c r="A68" s="62" t="s">
        <v>41</v>
      </c>
      <c r="E68" s="63">
        <f>(E66*0.25)*-1</f>
        <v>0</v>
      </c>
    </row>
    <row r="69" spans="1:5" x14ac:dyDescent="0.35">
      <c r="A69" s="25"/>
      <c r="C69" s="41"/>
      <c r="D69" s="41"/>
      <c r="E69" s="64"/>
    </row>
    <row r="70" spans="1:5" x14ac:dyDescent="0.35">
      <c r="A70" s="25" t="s">
        <v>43</v>
      </c>
      <c r="E70" s="60">
        <f>SUM(E62:E68)</f>
        <v>296.46250879204013</v>
      </c>
    </row>
    <row r="71" spans="1:5" x14ac:dyDescent="0.35">
      <c r="A71" s="25"/>
      <c r="E71" s="60"/>
    </row>
    <row r="72" spans="1:5" x14ac:dyDescent="0.35">
      <c r="A72" s="25" t="s">
        <v>44</v>
      </c>
      <c r="E72" s="64">
        <f>E70/C51-1</f>
        <v>2.5360594860582175E-2</v>
      </c>
    </row>
    <row r="73" spans="1:5" x14ac:dyDescent="0.35">
      <c r="A73" s="25"/>
      <c r="E73" s="26"/>
    </row>
    <row r="74" spans="1:5" ht="16" thickBot="1" x14ac:dyDescent="0.4">
      <c r="A74" s="65" t="s">
        <v>45</v>
      </c>
      <c r="B74" s="66"/>
      <c r="C74" s="66"/>
      <c r="D74" s="66"/>
      <c r="E74" s="104">
        <f>(E70/C51)^(1/10)-1</f>
        <v>2.5075737759017169E-3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zoomScaleNormal="100" workbookViewId="0">
      <selection activeCell="C51" sqref="C51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48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46</v>
      </c>
    </row>
    <row r="11" spans="1:28" x14ac:dyDescent="0.35">
      <c r="A11" s="5"/>
      <c r="B11" s="4" t="s">
        <v>4</v>
      </c>
      <c r="C11" s="84">
        <v>512.98</v>
      </c>
      <c r="D11" s="84">
        <v>674.86</v>
      </c>
      <c r="E11" s="84">
        <v>883.03</v>
      </c>
      <c r="F11" s="84">
        <v>1300.6600000000001</v>
      </c>
      <c r="G11" s="74">
        <v>1706.33</v>
      </c>
      <c r="H11" s="74">
        <v>2058.8200000000002</v>
      </c>
      <c r="I11" s="74">
        <v>2546.46</v>
      </c>
      <c r="J11" s="74">
        <f t="shared" ref="J11:Q11" si="0">I11*(1+J12)</f>
        <v>3055.752</v>
      </c>
      <c r="K11" s="74">
        <f t="shared" si="0"/>
        <v>3666.9023999999999</v>
      </c>
      <c r="L11" s="74">
        <f t="shared" si="0"/>
        <v>4326.9448320000001</v>
      </c>
      <c r="M11" s="74">
        <f t="shared" si="0"/>
        <v>5019.2560051199998</v>
      </c>
      <c r="N11" s="74">
        <f t="shared" si="0"/>
        <v>5721.9518458368002</v>
      </c>
      <c r="O11" s="74">
        <f t="shared" si="0"/>
        <v>6408.5860673372172</v>
      </c>
      <c r="P11" s="74">
        <f t="shared" si="0"/>
        <v>6921.2729527241954</v>
      </c>
      <c r="Q11" s="74">
        <f t="shared" si="0"/>
        <v>7059.6984117786797</v>
      </c>
    </row>
    <row r="12" spans="1:28" x14ac:dyDescent="0.35">
      <c r="A12" s="5"/>
      <c r="B12" s="4" t="s">
        <v>1</v>
      </c>
      <c r="C12" s="88"/>
      <c r="D12" s="91">
        <f t="shared" ref="D12:I12" si="1">D11/C11-1</f>
        <v>0.31556785839603885</v>
      </c>
      <c r="E12" s="91">
        <f t="shared" si="1"/>
        <v>0.30846397771389622</v>
      </c>
      <c r="F12" s="91">
        <f t="shared" si="1"/>
        <v>0.47295108886447812</v>
      </c>
      <c r="G12" s="87">
        <f t="shared" si="1"/>
        <v>0.31189549920809423</v>
      </c>
      <c r="H12" s="87">
        <f t="shared" si="1"/>
        <v>0.20657786008568113</v>
      </c>
      <c r="I12" s="87">
        <f t="shared" si="1"/>
        <v>0.236854120321349</v>
      </c>
      <c r="J12" s="87">
        <v>0.2</v>
      </c>
      <c r="K12" s="87">
        <v>0.2</v>
      </c>
      <c r="L12" s="73">
        <v>0.18</v>
      </c>
      <c r="M12" s="73">
        <v>0.16</v>
      </c>
      <c r="N12" s="73">
        <v>0.14000000000000001</v>
      </c>
      <c r="O12" s="73">
        <v>0.12</v>
      </c>
      <c r="P12" s="73">
        <v>0.08</v>
      </c>
      <c r="Q12" s="12">
        <v>0.02</v>
      </c>
    </row>
    <row r="13" spans="1:28" ht="16" customHeight="1" x14ac:dyDescent="0.35">
      <c r="A13" s="5"/>
      <c r="B13" s="4" t="s">
        <v>15</v>
      </c>
      <c r="C13" s="90">
        <v>-9.4100000000000003E-2</v>
      </c>
      <c r="D13" s="90">
        <v>-6.88E-2</v>
      </c>
      <c r="E13" s="90">
        <v>-5.7599999999999998E-2</v>
      </c>
      <c r="F13" s="90">
        <v>-4.0399999999999998E-2</v>
      </c>
      <c r="G13" s="86">
        <v>0.09</v>
      </c>
      <c r="H13" s="86">
        <v>8.4599999999999995E-2</v>
      </c>
      <c r="I13" s="86">
        <v>0.1017</v>
      </c>
      <c r="J13" s="86">
        <v>0.15</v>
      </c>
      <c r="K13" s="86">
        <v>0.18</v>
      </c>
      <c r="L13" s="86">
        <v>0.21</v>
      </c>
      <c r="M13" s="86">
        <v>0.23</v>
      </c>
      <c r="N13" s="86">
        <v>0.25</v>
      </c>
      <c r="O13" s="86">
        <v>0.27</v>
      </c>
      <c r="P13" s="86">
        <v>0.28999999999999998</v>
      </c>
      <c r="Q13" s="86">
        <v>0.3</v>
      </c>
    </row>
    <row r="14" spans="1:28" ht="17.149999999999999" customHeight="1" x14ac:dyDescent="0.35">
      <c r="A14" s="5"/>
      <c r="B14" s="4" t="s">
        <v>16</v>
      </c>
      <c r="C14" s="84">
        <f>C11*C13</f>
        <v>-48.271418000000004</v>
      </c>
      <c r="D14" s="84">
        <f t="shared" ref="D14:J14" si="2">D11*D13</f>
        <v>-46.430368000000001</v>
      </c>
      <c r="E14" s="84">
        <f t="shared" si="2"/>
        <v>-50.862527999999998</v>
      </c>
      <c r="F14" s="84">
        <f t="shared" si="2"/>
        <v>-52.546664</v>
      </c>
      <c r="G14" s="74">
        <f t="shared" si="2"/>
        <v>153.56969999999998</v>
      </c>
      <c r="H14" s="74">
        <f t="shared" si="2"/>
        <v>174.17617200000001</v>
      </c>
      <c r="I14" s="74">
        <f t="shared" si="2"/>
        <v>258.97498200000001</v>
      </c>
      <c r="J14" s="74">
        <f t="shared" si="2"/>
        <v>458.36279999999999</v>
      </c>
      <c r="K14" s="74">
        <f t="shared" ref="K14:Q14" si="3">K11*K13</f>
        <v>660.04243199999996</v>
      </c>
      <c r="L14" s="74">
        <f t="shared" si="3"/>
        <v>908.65841472</v>
      </c>
      <c r="M14" s="74">
        <f t="shared" si="3"/>
        <v>1154.4288811776</v>
      </c>
      <c r="N14" s="74">
        <f t="shared" si="3"/>
        <v>1430.4879614592001</v>
      </c>
      <c r="O14" s="74">
        <f>O11*O13</f>
        <v>1730.3182381810489</v>
      </c>
      <c r="P14" s="74">
        <f t="shared" si="3"/>
        <v>2007.1691562900166</v>
      </c>
      <c r="Q14" s="74">
        <f t="shared" si="3"/>
        <v>2117.909523533604</v>
      </c>
    </row>
    <row r="15" spans="1:28" x14ac:dyDescent="0.35">
      <c r="A15" s="102">
        <v>0.2</v>
      </c>
      <c r="B15" s="4" t="s">
        <v>39</v>
      </c>
      <c r="C15" s="84">
        <v>-63.814712</v>
      </c>
      <c r="D15" s="84">
        <v>-53.718856000000002</v>
      </c>
      <c r="E15" s="84">
        <v>-85.035788999999994</v>
      </c>
      <c r="F15" s="84">
        <v>-77.779468000000008</v>
      </c>
      <c r="G15" s="74">
        <v>126.95095199999999</v>
      </c>
      <c r="H15" s="74">
        <v>145.35269199999999</v>
      </c>
      <c r="I15" s="74">
        <v>218.99555999999998</v>
      </c>
      <c r="J15" s="74">
        <f>J14*(1-$A$15)</f>
        <v>366.69024000000002</v>
      </c>
      <c r="K15" s="74">
        <f>K14*(1-$A$15)</f>
        <v>528.03394560000004</v>
      </c>
      <c r="L15" s="74">
        <f t="shared" ref="L15:Q15" si="4">L14*(1-$A$15)</f>
        <v>726.926731776</v>
      </c>
      <c r="M15" s="74">
        <f t="shared" si="4"/>
        <v>923.54310494208005</v>
      </c>
      <c r="N15" s="74">
        <f t="shared" si="4"/>
        <v>1144.3903691673602</v>
      </c>
      <c r="O15" s="74">
        <f>O14*(1-$A$15)</f>
        <v>1384.2545905448392</v>
      </c>
      <c r="P15" s="74">
        <f t="shared" si="4"/>
        <v>1605.7353250320134</v>
      </c>
      <c r="Q15" s="74">
        <f t="shared" si="4"/>
        <v>1694.3276188268833</v>
      </c>
    </row>
    <row r="16" spans="1:28" ht="31.5" hidden="1" thickBot="1" x14ac:dyDescent="0.4">
      <c r="A16" s="13" t="s">
        <v>6</v>
      </c>
      <c r="B16" s="14"/>
      <c r="C16" s="15">
        <f t="shared" ref="C16:J16" si="5">C15/C14</f>
        <v>1.3219978746014878</v>
      </c>
      <c r="D16" s="15">
        <f t="shared" si="5"/>
        <v>1.1569767441860466</v>
      </c>
      <c r="E16" s="15">
        <f t="shared" si="5"/>
        <v>1.671875</v>
      </c>
      <c r="F16" s="15">
        <f t="shared" si="5"/>
        <v>1.4801980198019804</v>
      </c>
      <c r="G16" s="15">
        <f t="shared" si="5"/>
        <v>0.82666666666666666</v>
      </c>
      <c r="H16" s="15">
        <f t="shared" si="5"/>
        <v>0.83451536643025992</v>
      </c>
      <c r="I16" s="15">
        <f t="shared" si="5"/>
        <v>0.84562438544739416</v>
      </c>
      <c r="J16" s="15">
        <f t="shared" si="5"/>
        <v>0.8</v>
      </c>
    </row>
    <row r="17" spans="1:18" x14ac:dyDescent="0.35">
      <c r="A17" s="2" t="s">
        <v>36</v>
      </c>
      <c r="C17" s="84"/>
      <c r="D17" s="84"/>
      <c r="E17" s="84"/>
      <c r="F17" s="84"/>
      <c r="G17" s="74">
        <f>G15/G18</f>
        <v>2.7068433262260125</v>
      </c>
      <c r="H17" s="74">
        <f t="shared" ref="H17:O17" si="6">H15/H18</f>
        <v>3.0992045202558636</v>
      </c>
      <c r="I17" s="74">
        <f t="shared" si="6"/>
        <v>4.6694149253731343</v>
      </c>
      <c r="J17" s="74">
        <f t="shared" si="6"/>
        <v>7.8185552238805975</v>
      </c>
      <c r="K17" s="74">
        <f t="shared" si="6"/>
        <v>11.258719522388061</v>
      </c>
      <c r="L17" s="74">
        <f t="shared" si="6"/>
        <v>15.499503875820896</v>
      </c>
      <c r="M17" s="74">
        <f t="shared" si="6"/>
        <v>19.691750638423883</v>
      </c>
      <c r="N17" s="74">
        <f t="shared" si="6"/>
        <v>24.400647530220901</v>
      </c>
      <c r="O17" s="74">
        <f t="shared" si="6"/>
        <v>29.515023252555206</v>
      </c>
      <c r="P17" s="74">
        <f>P15/P18</f>
        <v>34.237426972964037</v>
      </c>
      <c r="Q17" s="74"/>
    </row>
    <row r="18" spans="1:18" ht="31.5" thickBot="1" x14ac:dyDescent="0.4">
      <c r="A18" s="2" t="s">
        <v>38</v>
      </c>
      <c r="C18" s="84"/>
      <c r="D18" s="84"/>
      <c r="E18" s="84"/>
      <c r="F18" s="84"/>
      <c r="G18" s="74">
        <f>C50</f>
        <v>46.9</v>
      </c>
      <c r="H18" s="74">
        <f>G18*1</f>
        <v>46.9</v>
      </c>
      <c r="I18" s="74">
        <f t="shared" ref="I18:P18" si="7">H18*1</f>
        <v>46.9</v>
      </c>
      <c r="J18" s="74">
        <f t="shared" si="7"/>
        <v>46.9</v>
      </c>
      <c r="K18" s="74">
        <f t="shared" si="7"/>
        <v>46.9</v>
      </c>
      <c r="L18" s="74">
        <f t="shared" si="7"/>
        <v>46.9</v>
      </c>
      <c r="M18" s="74">
        <f t="shared" si="7"/>
        <v>46.9</v>
      </c>
      <c r="N18" s="74">
        <f t="shared" si="7"/>
        <v>46.9</v>
      </c>
      <c r="O18" s="74">
        <f t="shared" si="7"/>
        <v>46.9</v>
      </c>
      <c r="P18" s="74">
        <f t="shared" si="7"/>
        <v>46.9</v>
      </c>
      <c r="Q18" s="74"/>
    </row>
    <row r="19" spans="1:18" ht="16" thickBot="1" x14ac:dyDescent="0.4">
      <c r="A19" s="2"/>
      <c r="E19" s="51" t="s">
        <v>12</v>
      </c>
      <c r="F19" s="52"/>
      <c r="G19" s="53">
        <f>G15/(1+$C$55)</f>
        <v>115.48869865817601</v>
      </c>
      <c r="H19" s="53">
        <f>H15/(1+$C$55)^2</f>
        <v>120.29016786260648</v>
      </c>
      <c r="I19" s="53">
        <f>I15/(1+$C$55)^3</f>
        <v>164.87161306776889</v>
      </c>
      <c r="J19" s="53">
        <f>J15/(1+$C$55)^4</f>
        <v>251.13859112987947</v>
      </c>
      <c r="K19" s="53">
        <f>K15/(1+$C$55)^5</f>
        <v>328.98755626747914</v>
      </c>
      <c r="L19" s="53">
        <f>L15/(1+$C$55)^6</f>
        <v>412.01382984904512</v>
      </c>
      <c r="M19" s="53">
        <f>M15/(1+$C$55)^7</f>
        <v>476.19173160802387</v>
      </c>
      <c r="N19" s="53">
        <f>N15/(1+$C$55)^8</f>
        <v>536.78750732529807</v>
      </c>
      <c r="O19" s="53">
        <f>O15/(1+$C$55)^9</f>
        <v>590.67379473339156</v>
      </c>
      <c r="P19" s="53">
        <f>P15/(1+$C$55)^10</f>
        <v>623.31735446052687</v>
      </c>
      <c r="Q19" s="54">
        <f>(Q15/(C55-Q12))/(1+C55)^10</f>
        <v>8299.1454569747075</v>
      </c>
    </row>
    <row r="20" spans="1:18" x14ac:dyDescent="0.3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2">
        <f>(I27-I23)*I29</f>
        <v>6.1750000000000013E-2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81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81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81">
        <v>1.9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81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3">
        <f>I23+(I27-I23)*I29</f>
        <v>9.9250000000000005E-2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8" t="s">
        <v>34</v>
      </c>
      <c r="H33" s="22"/>
      <c r="I33" s="79">
        <f>I31</f>
        <v>9.9250000000000005E-2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5">
        <v>44926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13560.197</v>
      </c>
      <c r="D49" s="47">
        <f>SUM(G19:Q19)</f>
        <v>11918.906301936902</v>
      </c>
      <c r="E49" s="46" t="s">
        <v>47</v>
      </c>
    </row>
    <row r="50" spans="1:17" x14ac:dyDescent="0.35">
      <c r="A50" s="45"/>
      <c r="B50" s="46" t="s">
        <v>11</v>
      </c>
      <c r="C50" s="56">
        <v>46.9</v>
      </c>
      <c r="D50" s="56">
        <f>C50</f>
        <v>46.9</v>
      </c>
      <c r="E50" s="46"/>
    </row>
    <row r="51" spans="1:17" x14ac:dyDescent="0.35">
      <c r="A51" s="45"/>
      <c r="B51" s="46" t="s">
        <v>13</v>
      </c>
      <c r="C51" s="89">
        <v>289.13</v>
      </c>
      <c r="D51" s="56">
        <f>D49/(D50)</f>
        <v>254.13446272786572</v>
      </c>
      <c r="E51" s="46" t="s">
        <v>47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0.13770480751211012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9.9250000000000005E-2</v>
      </c>
      <c r="D55" s="49"/>
      <c r="E55" s="46"/>
      <c r="J55" s="72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5">
        <v>0.108</v>
      </c>
      <c r="C57" s="50"/>
      <c r="D57" s="76">
        <f>SUM(H57:Q57)*1000</f>
        <v>9754878.4805764221</v>
      </c>
      <c r="E57" s="46"/>
      <c r="F57" s="1" t="s">
        <v>23</v>
      </c>
      <c r="H57" s="1">
        <f>G15/(1+$B$57)</f>
        <v>114.57667148014438</v>
      </c>
      <c r="I57" s="1">
        <f>H15/(1+$B$57)^2</f>
        <v>118.39777984855787</v>
      </c>
      <c r="J57" s="1">
        <f>I15/(1+$B$57)^3</f>
        <v>160.99634947564758</v>
      </c>
      <c r="K57" s="1">
        <f>J15/(1+$B$57)^4</f>
        <v>243.2989917355097</v>
      </c>
      <c r="L57" s="1">
        <f>K15/(1+$B$57)^5</f>
        <v>316.20085568513895</v>
      </c>
      <c r="M57" s="1">
        <f>L15/(1+$B$57)^6</f>
        <v>392.87290432599985</v>
      </c>
      <c r="N57" s="1">
        <f>M15/(1+$B$57)^7</f>
        <v>450.48345742726821</v>
      </c>
      <c r="O57" s="1">
        <f>N15/(1+$B$57)^8</f>
        <v>503.79761955254827</v>
      </c>
      <c r="P57" s="1">
        <f>O15/(1+$B$57)^9</f>
        <v>549.99422437794442</v>
      </c>
      <c r="Q57" s="1">
        <f>(Q15/(B57-Q12))/(1+B57)^10</f>
        <v>6904.2596266676646</v>
      </c>
    </row>
    <row r="58" spans="1:17" ht="16" thickBot="1" x14ac:dyDescent="0.4">
      <c r="A58" s="22"/>
      <c r="C58" s="67"/>
      <c r="D58" s="68"/>
    </row>
    <row r="59" spans="1:17" x14ac:dyDescent="0.35">
      <c r="A59" s="59" t="s">
        <v>42</v>
      </c>
      <c r="B59" s="23"/>
      <c r="C59" s="69">
        <v>25</v>
      </c>
      <c r="D59" s="23"/>
      <c r="E59" s="24"/>
    </row>
    <row r="60" spans="1:17" x14ac:dyDescent="0.35">
      <c r="A60" s="25" t="s">
        <v>21</v>
      </c>
      <c r="C60" s="70" t="s">
        <v>40</v>
      </c>
      <c r="E60" s="26"/>
    </row>
    <row r="61" spans="1:17" x14ac:dyDescent="0.35">
      <c r="A61" s="25"/>
      <c r="C61" s="70"/>
      <c r="E61" s="26"/>
    </row>
    <row r="62" spans="1:17" x14ac:dyDescent="0.35">
      <c r="A62" s="25" t="s">
        <v>37</v>
      </c>
      <c r="C62" s="70"/>
      <c r="E62" s="60">
        <f>P17*C59</f>
        <v>855.93567432410089</v>
      </c>
    </row>
    <row r="63" spans="1:17" x14ac:dyDescent="0.35">
      <c r="A63" s="25"/>
      <c r="C63" s="70"/>
      <c r="E63" s="26"/>
    </row>
    <row r="64" spans="1:17" x14ac:dyDescent="0.35">
      <c r="A64" s="25" t="s">
        <v>17</v>
      </c>
      <c r="C64" s="71">
        <v>0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0</v>
      </c>
    </row>
    <row r="67" spans="1:5" x14ac:dyDescent="0.35">
      <c r="A67" s="25"/>
      <c r="E67" s="61"/>
    </row>
    <row r="68" spans="1:5" x14ac:dyDescent="0.35">
      <c r="A68" s="62" t="s">
        <v>41</v>
      </c>
      <c r="E68" s="63">
        <f>(E66*0.25)*-1</f>
        <v>0</v>
      </c>
    </row>
    <row r="69" spans="1:5" x14ac:dyDescent="0.35">
      <c r="A69" s="25"/>
      <c r="C69" s="41"/>
      <c r="D69" s="41"/>
      <c r="E69" s="64"/>
    </row>
    <row r="70" spans="1:5" x14ac:dyDescent="0.35">
      <c r="A70" s="25" t="s">
        <v>43</v>
      </c>
      <c r="E70" s="60">
        <f>SUM(E62:E68)</f>
        <v>855.93567432410089</v>
      </c>
    </row>
    <row r="71" spans="1:5" x14ac:dyDescent="0.35">
      <c r="A71" s="25"/>
      <c r="E71" s="60"/>
    </row>
    <row r="72" spans="1:5" x14ac:dyDescent="0.35">
      <c r="A72" s="25" t="s">
        <v>44</v>
      </c>
      <c r="E72" s="64">
        <f>E70/C51-1</f>
        <v>1.9603834756825682</v>
      </c>
    </row>
    <row r="73" spans="1:5" x14ac:dyDescent="0.35">
      <c r="A73" s="25"/>
      <c r="E73" s="26"/>
    </row>
    <row r="74" spans="1:5" ht="16" thickBot="1" x14ac:dyDescent="0.4">
      <c r="A74" s="65" t="s">
        <v>45</v>
      </c>
      <c r="B74" s="66"/>
      <c r="C74" s="66"/>
      <c r="D74" s="66"/>
      <c r="E74" s="104">
        <f>(E70/C51)^(1/10)-1</f>
        <v>0.11464044410702057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zoomScaleNormal="100" workbookViewId="0">
      <selection activeCell="A78" sqref="A78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48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46</v>
      </c>
    </row>
    <row r="11" spans="1:28" x14ac:dyDescent="0.35">
      <c r="A11" s="5"/>
      <c r="B11" s="4" t="s">
        <v>4</v>
      </c>
      <c r="C11" s="84">
        <v>512.98</v>
      </c>
      <c r="D11" s="84">
        <v>674.86</v>
      </c>
      <c r="E11" s="84">
        <v>883.03</v>
      </c>
      <c r="F11" s="84">
        <v>1300.6600000000001</v>
      </c>
      <c r="G11" s="74">
        <v>1706.33</v>
      </c>
      <c r="H11" s="74">
        <v>2058.8200000000002</v>
      </c>
      <c r="I11" s="74">
        <v>2546.46</v>
      </c>
      <c r="J11" s="74">
        <f t="shared" ref="J11" si="0">I11*(1+J12)</f>
        <v>2992.0905000000002</v>
      </c>
      <c r="K11" s="74">
        <f t="shared" ref="K11:Q11" si="1">J11*(1+K12)</f>
        <v>3515.7063375000002</v>
      </c>
      <c r="L11" s="74">
        <f t="shared" si="1"/>
        <v>4130.9549465625005</v>
      </c>
      <c r="M11" s="74">
        <f t="shared" si="1"/>
        <v>4853.8720622109386</v>
      </c>
      <c r="N11" s="74">
        <f t="shared" si="1"/>
        <v>5703.299673097853</v>
      </c>
      <c r="O11" s="74">
        <f t="shared" si="1"/>
        <v>6701.3771158899772</v>
      </c>
      <c r="P11" s="74">
        <f t="shared" si="1"/>
        <v>7505.5423697967753</v>
      </c>
      <c r="Q11" s="74">
        <f t="shared" si="1"/>
        <v>7693.1809290416941</v>
      </c>
    </row>
    <row r="12" spans="1:28" x14ac:dyDescent="0.35">
      <c r="A12" s="5"/>
      <c r="B12" s="4" t="s">
        <v>1</v>
      </c>
      <c r="C12" s="88"/>
      <c r="D12" s="91">
        <f t="shared" ref="D12:F12" si="2">D11/C11-1</f>
        <v>0.31556785839603885</v>
      </c>
      <c r="E12" s="91">
        <f t="shared" si="2"/>
        <v>0.30846397771389622</v>
      </c>
      <c r="F12" s="91">
        <f t="shared" si="2"/>
        <v>0.47295108886447812</v>
      </c>
      <c r="G12" s="87">
        <v>0.17499999999999999</v>
      </c>
      <c r="H12" s="87">
        <v>0.17499999999999999</v>
      </c>
      <c r="I12" s="87">
        <v>0.17499999999999999</v>
      </c>
      <c r="J12" s="87">
        <v>0.17499999999999999</v>
      </c>
      <c r="K12" s="87">
        <v>0.17499999999999999</v>
      </c>
      <c r="L12" s="87">
        <v>0.17499999999999999</v>
      </c>
      <c r="M12" s="87">
        <v>0.17499999999999999</v>
      </c>
      <c r="N12" s="87">
        <v>0.17499999999999999</v>
      </c>
      <c r="O12" s="87">
        <v>0.17499999999999999</v>
      </c>
      <c r="P12" s="73">
        <v>0.12</v>
      </c>
      <c r="Q12" s="12">
        <v>2.5000000000000001E-2</v>
      </c>
    </row>
    <row r="13" spans="1:28" ht="16" customHeight="1" x14ac:dyDescent="0.35">
      <c r="A13" s="5"/>
      <c r="B13" s="4" t="s">
        <v>15</v>
      </c>
      <c r="C13" s="90">
        <v>-9.4100000000000003E-2</v>
      </c>
      <c r="D13" s="90">
        <v>-6.88E-2</v>
      </c>
      <c r="E13" s="90">
        <v>-5.7599999999999998E-2</v>
      </c>
      <c r="F13" s="90">
        <v>-4.0399999999999998E-2</v>
      </c>
      <c r="G13" s="86">
        <v>0.09</v>
      </c>
      <c r="H13" s="86">
        <v>8.4599999999999995E-2</v>
      </c>
      <c r="I13" s="86">
        <v>0.1017</v>
      </c>
      <c r="J13" s="86">
        <v>0.1</v>
      </c>
      <c r="K13" s="86">
        <v>0.15</v>
      </c>
      <c r="L13" s="86">
        <v>0.18</v>
      </c>
      <c r="M13" s="86">
        <v>0.21</v>
      </c>
      <c r="N13" s="86">
        <v>0.24</v>
      </c>
      <c r="O13" s="86">
        <v>0.27</v>
      </c>
      <c r="P13" s="86">
        <v>0.28999999999999998</v>
      </c>
      <c r="Q13" s="86">
        <v>0.3</v>
      </c>
    </row>
    <row r="14" spans="1:28" ht="17.149999999999999" customHeight="1" x14ac:dyDescent="0.35">
      <c r="A14" s="5"/>
      <c r="B14" s="4" t="s">
        <v>16</v>
      </c>
      <c r="C14" s="84">
        <f>C11*C13</f>
        <v>-48.271418000000004</v>
      </c>
      <c r="D14" s="84">
        <f t="shared" ref="D14:Q14" si="3">D11*D13</f>
        <v>-46.430368000000001</v>
      </c>
      <c r="E14" s="84">
        <f t="shared" si="3"/>
        <v>-50.862527999999998</v>
      </c>
      <c r="F14" s="84">
        <f t="shared" si="3"/>
        <v>-52.546664</v>
      </c>
      <c r="G14" s="74">
        <f t="shared" si="3"/>
        <v>153.56969999999998</v>
      </c>
      <c r="H14" s="74">
        <f t="shared" si="3"/>
        <v>174.17617200000001</v>
      </c>
      <c r="I14" s="74">
        <f t="shared" si="3"/>
        <v>258.97498200000001</v>
      </c>
      <c r="J14" s="74">
        <f t="shared" si="3"/>
        <v>299.20905000000005</v>
      </c>
      <c r="K14" s="74">
        <f t="shared" si="3"/>
        <v>527.35595062499999</v>
      </c>
      <c r="L14" s="74">
        <f t="shared" si="3"/>
        <v>743.57189038125011</v>
      </c>
      <c r="M14" s="74">
        <f t="shared" si="3"/>
        <v>1019.3131330642971</v>
      </c>
      <c r="N14" s="74">
        <f t="shared" si="3"/>
        <v>1368.7919215434847</v>
      </c>
      <c r="O14" s="74">
        <f>O11*O13</f>
        <v>1809.3718212902941</v>
      </c>
      <c r="P14" s="74">
        <f t="shared" si="3"/>
        <v>2176.6072872410646</v>
      </c>
      <c r="Q14" s="74">
        <f t="shared" si="3"/>
        <v>2307.9542787125083</v>
      </c>
    </row>
    <row r="15" spans="1:28" x14ac:dyDescent="0.35">
      <c r="A15" s="102">
        <v>0.2</v>
      </c>
      <c r="B15" s="4" t="s">
        <v>39</v>
      </c>
      <c r="C15" s="84">
        <v>-63.814712</v>
      </c>
      <c r="D15" s="84">
        <v>-53.718856000000002</v>
      </c>
      <c r="E15" s="84">
        <v>-85.035788999999994</v>
      </c>
      <c r="F15" s="84">
        <v>-77.779468000000008</v>
      </c>
      <c r="G15" s="74">
        <v>126.95095199999999</v>
      </c>
      <c r="H15" s="74">
        <v>145.35269199999999</v>
      </c>
      <c r="I15" s="74">
        <v>218.99555999999998</v>
      </c>
      <c r="J15" s="74">
        <f>J14*(1-$A$15)</f>
        <v>239.36724000000004</v>
      </c>
      <c r="K15" s="74">
        <f>K14*(1-$A$15)</f>
        <v>421.88476050000003</v>
      </c>
      <c r="L15" s="74">
        <f t="shared" ref="L15:Q15" si="4">L14*(1-$A$15)</f>
        <v>594.85751230500011</v>
      </c>
      <c r="M15" s="74">
        <f t="shared" si="4"/>
        <v>815.45050645143772</v>
      </c>
      <c r="N15" s="74">
        <f t="shared" si="4"/>
        <v>1095.0335372347879</v>
      </c>
      <c r="O15" s="74">
        <f>O14*(1-$A$15)</f>
        <v>1447.4974570322354</v>
      </c>
      <c r="P15" s="74">
        <f t="shared" si="4"/>
        <v>1741.2858297928517</v>
      </c>
      <c r="Q15" s="74">
        <f t="shared" si="4"/>
        <v>1846.3634229700067</v>
      </c>
    </row>
    <row r="16" spans="1:28" ht="31.5" hidden="1" thickBot="1" x14ac:dyDescent="0.4">
      <c r="A16" s="13" t="s">
        <v>6</v>
      </c>
      <c r="B16" s="14"/>
      <c r="C16" s="15">
        <f t="shared" ref="C16:J16" si="5">C15/C14</f>
        <v>1.3219978746014878</v>
      </c>
      <c r="D16" s="15">
        <f t="shared" si="5"/>
        <v>1.1569767441860466</v>
      </c>
      <c r="E16" s="15">
        <f t="shared" si="5"/>
        <v>1.671875</v>
      </c>
      <c r="F16" s="15">
        <f t="shared" si="5"/>
        <v>1.4801980198019804</v>
      </c>
      <c r="G16" s="15">
        <f t="shared" si="5"/>
        <v>0.82666666666666666</v>
      </c>
      <c r="H16" s="15">
        <f t="shared" si="5"/>
        <v>0.83451536643025992</v>
      </c>
      <c r="I16" s="15">
        <f t="shared" si="5"/>
        <v>0.84562438544739416</v>
      </c>
      <c r="J16" s="15">
        <f t="shared" si="5"/>
        <v>0.8</v>
      </c>
    </row>
    <row r="17" spans="1:18" x14ac:dyDescent="0.35">
      <c r="A17" s="2" t="s">
        <v>36</v>
      </c>
      <c r="C17" s="84"/>
      <c r="D17" s="84"/>
      <c r="E17" s="84"/>
      <c r="F17" s="84"/>
      <c r="G17" s="74">
        <f>G15/G18</f>
        <v>2.7068433262260125</v>
      </c>
      <c r="H17" s="74">
        <f t="shared" ref="H17:O17" si="6">H15/H18</f>
        <v>3.0992045202558636</v>
      </c>
      <c r="I17" s="74">
        <f t="shared" si="6"/>
        <v>4.6694149253731343</v>
      </c>
      <c r="J17" s="74">
        <f t="shared" si="6"/>
        <v>5.1037791044776126</v>
      </c>
      <c r="K17" s="74">
        <f t="shared" si="6"/>
        <v>8.9954106716417925</v>
      </c>
      <c r="L17" s="74">
        <f t="shared" si="6"/>
        <v>12.683529047014929</v>
      </c>
      <c r="M17" s="74">
        <f t="shared" si="6"/>
        <v>17.387004401949632</v>
      </c>
      <c r="N17" s="74">
        <f t="shared" si="6"/>
        <v>23.348263054046651</v>
      </c>
      <c r="O17" s="74">
        <f t="shared" si="6"/>
        <v>30.863485224567921</v>
      </c>
      <c r="P17" s="74">
        <f>P15/P18</f>
        <v>37.127629633109848</v>
      </c>
      <c r="Q17" s="74"/>
    </row>
    <row r="18" spans="1:18" ht="31.5" thickBot="1" x14ac:dyDescent="0.4">
      <c r="A18" s="2" t="s">
        <v>38</v>
      </c>
      <c r="C18" s="84"/>
      <c r="D18" s="84"/>
      <c r="E18" s="84"/>
      <c r="F18" s="84"/>
      <c r="G18" s="74">
        <f>C50</f>
        <v>46.9</v>
      </c>
      <c r="H18" s="74">
        <f>G18*1</f>
        <v>46.9</v>
      </c>
      <c r="I18" s="74">
        <f t="shared" ref="I18:P18" si="7">H18*1</f>
        <v>46.9</v>
      </c>
      <c r="J18" s="74">
        <f t="shared" si="7"/>
        <v>46.9</v>
      </c>
      <c r="K18" s="74">
        <f t="shared" si="7"/>
        <v>46.9</v>
      </c>
      <c r="L18" s="74">
        <f t="shared" si="7"/>
        <v>46.9</v>
      </c>
      <c r="M18" s="74">
        <f t="shared" si="7"/>
        <v>46.9</v>
      </c>
      <c r="N18" s="74">
        <f t="shared" si="7"/>
        <v>46.9</v>
      </c>
      <c r="O18" s="74">
        <f t="shared" si="7"/>
        <v>46.9</v>
      </c>
      <c r="P18" s="74">
        <f t="shared" si="7"/>
        <v>46.9</v>
      </c>
      <c r="Q18" s="74"/>
    </row>
    <row r="19" spans="1:18" ht="16" thickBot="1" x14ac:dyDescent="0.4">
      <c r="A19" s="2"/>
      <c r="E19" s="51" t="s">
        <v>12</v>
      </c>
      <c r="F19" s="52"/>
      <c r="G19" s="53">
        <f>G15/(1+$C$55)</f>
        <v>115.48869865817601</v>
      </c>
      <c r="H19" s="53">
        <f>H15/(1+$C$55)^2</f>
        <v>120.29016786260648</v>
      </c>
      <c r="I19" s="53">
        <f>I15/(1+$C$55)^3</f>
        <v>164.87161306776889</v>
      </c>
      <c r="J19" s="53">
        <f>J15/(1+$C$55)^4</f>
        <v>163.93769143200467</v>
      </c>
      <c r="K19" s="53">
        <f>K15/(1+$C$55)^5</f>
        <v>262.85210930080348</v>
      </c>
      <c r="L19" s="53">
        <f>L15/(1+$C$55)^6</f>
        <v>337.15849362213589</v>
      </c>
      <c r="M19" s="53">
        <f>M15/(1+$C$55)^7</f>
        <v>420.45767721053261</v>
      </c>
      <c r="N19" s="53">
        <f>N15/(1+$C$55)^8</f>
        <v>513.63620205711777</v>
      </c>
      <c r="O19" s="53">
        <f>O15/(1+$C$55)^9</f>
        <v>617.66009060200361</v>
      </c>
      <c r="P19" s="53">
        <f>P15/(1+$C$55)^10</f>
        <v>675.9356039977788</v>
      </c>
      <c r="Q19" s="54">
        <f>(Q15/(C55-Q12))/(1+C55)^10</f>
        <v>9652.8595485576207</v>
      </c>
    </row>
    <row r="20" spans="1:18" x14ac:dyDescent="0.3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2">
        <f>(I27-I23)*I29</f>
        <v>6.1750000000000013E-2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81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81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81">
        <v>1.9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81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3">
        <f>I23+(I27-I23)*I29</f>
        <v>9.9250000000000005E-2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8" t="s">
        <v>34</v>
      </c>
      <c r="H33" s="22"/>
      <c r="I33" s="79">
        <f>I31</f>
        <v>9.9250000000000005E-2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5">
        <v>44926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13560.197</v>
      </c>
      <c r="D49" s="47">
        <f>SUM(G19:Q19)</f>
        <v>13045.147896368548</v>
      </c>
      <c r="E49" s="46" t="s">
        <v>47</v>
      </c>
    </row>
    <row r="50" spans="1:17" x14ac:dyDescent="0.35">
      <c r="A50" s="45"/>
      <c r="B50" s="46" t="s">
        <v>11</v>
      </c>
      <c r="C50" s="56">
        <v>46.9</v>
      </c>
      <c r="D50" s="56">
        <f>C50</f>
        <v>46.9</v>
      </c>
      <c r="E50" s="46"/>
    </row>
    <row r="51" spans="1:17" x14ac:dyDescent="0.35">
      <c r="A51" s="45"/>
      <c r="B51" s="46" t="s">
        <v>13</v>
      </c>
      <c r="C51" s="89">
        <v>289.13</v>
      </c>
      <c r="D51" s="56">
        <f>D49/(D50)</f>
        <v>278.14814277971317</v>
      </c>
      <c r="E51" s="46" t="s">
        <v>47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3.9482044030702657E-2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9.9250000000000005E-2</v>
      </c>
      <c r="D55" s="49"/>
      <c r="E55" s="46"/>
      <c r="J55" s="72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5">
        <v>0.108</v>
      </c>
      <c r="C57" s="50"/>
      <c r="D57" s="76">
        <f>SUM(H57:Q57)*1000</f>
        <v>10558906.332685368</v>
      </c>
      <c r="E57" s="46"/>
      <c r="F57" s="1" t="s">
        <v>23</v>
      </c>
      <c r="H57" s="1">
        <f>G15/(1+$B$57)</f>
        <v>114.57667148014438</v>
      </c>
      <c r="I57" s="1">
        <f>H15/(1+$B$57)^2</f>
        <v>118.39777984855787</v>
      </c>
      <c r="J57" s="1">
        <f>I15/(1+$B$57)^3</f>
        <v>160.99634947564758</v>
      </c>
      <c r="K57" s="1">
        <f>J15/(1+$B$57)^4</f>
        <v>158.82017516067995</v>
      </c>
      <c r="L57" s="1">
        <f>K15/(1+$B$57)^5</f>
        <v>252.63588332192995</v>
      </c>
      <c r="M57" s="1">
        <f>L15/(1+$B$57)^6</f>
        <v>321.49512227790723</v>
      </c>
      <c r="N57" s="1">
        <f>M15/(1+$B$57)^7</f>
        <v>397.75833043558771</v>
      </c>
      <c r="O57" s="1">
        <f>N15/(1+$B$57)^8</f>
        <v>482.06914725303295</v>
      </c>
      <c r="P57" s="1">
        <f>O15/(1+$B$57)^9</f>
        <v>575.12198016706043</v>
      </c>
      <c r="Q57" s="1">
        <f>(Q15/(B57-Q12))/(1+B57)^10</f>
        <v>7977.0348932648194</v>
      </c>
    </row>
    <row r="58" spans="1:17" ht="16" thickBot="1" x14ac:dyDescent="0.4">
      <c r="A58" s="22"/>
      <c r="C58" s="67"/>
      <c r="D58" s="68"/>
    </row>
    <row r="59" spans="1:17" x14ac:dyDescent="0.35">
      <c r="A59" s="59" t="s">
        <v>42</v>
      </c>
      <c r="B59" s="23"/>
      <c r="C59" s="69">
        <v>21</v>
      </c>
      <c r="D59" s="23"/>
      <c r="E59" s="24"/>
    </row>
    <row r="60" spans="1:17" x14ac:dyDescent="0.35">
      <c r="A60" s="25" t="s">
        <v>21</v>
      </c>
      <c r="C60" s="70" t="s">
        <v>40</v>
      </c>
      <c r="E60" s="26"/>
    </row>
    <row r="61" spans="1:17" x14ac:dyDescent="0.35">
      <c r="A61" s="25"/>
      <c r="C61" s="70"/>
      <c r="E61" s="26"/>
    </row>
    <row r="62" spans="1:17" x14ac:dyDescent="0.35">
      <c r="A62" s="25" t="s">
        <v>37</v>
      </c>
      <c r="C62" s="70"/>
      <c r="E62" s="60">
        <f>P17*C59</f>
        <v>779.68022229530675</v>
      </c>
    </row>
    <row r="63" spans="1:17" x14ac:dyDescent="0.35">
      <c r="A63" s="25"/>
      <c r="C63" s="70"/>
      <c r="E63" s="26"/>
    </row>
    <row r="64" spans="1:17" x14ac:dyDescent="0.35">
      <c r="A64" s="25" t="s">
        <v>17</v>
      </c>
      <c r="C64" s="71">
        <v>0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0</v>
      </c>
    </row>
    <row r="67" spans="1:5" x14ac:dyDescent="0.35">
      <c r="A67" s="25"/>
      <c r="E67" s="61"/>
    </row>
    <row r="68" spans="1:5" x14ac:dyDescent="0.35">
      <c r="A68" s="62" t="s">
        <v>41</v>
      </c>
      <c r="E68" s="63">
        <f>(E66*0.25)*-1</f>
        <v>0</v>
      </c>
    </row>
    <row r="69" spans="1:5" x14ac:dyDescent="0.35">
      <c r="A69" s="25"/>
      <c r="C69" s="41"/>
      <c r="D69" s="41"/>
      <c r="E69" s="64"/>
    </row>
    <row r="70" spans="1:5" x14ac:dyDescent="0.35">
      <c r="A70" s="25" t="s">
        <v>43</v>
      </c>
      <c r="E70" s="60">
        <f>SUM(E62:E68)</f>
        <v>779.68022229530675</v>
      </c>
    </row>
    <row r="71" spans="1:5" x14ac:dyDescent="0.35">
      <c r="A71" s="25"/>
      <c r="E71" s="60"/>
    </row>
    <row r="72" spans="1:5" x14ac:dyDescent="0.35">
      <c r="A72" s="25" t="s">
        <v>44</v>
      </c>
      <c r="E72" s="64">
        <f>E70/C51-1</f>
        <v>1.6966424179272535</v>
      </c>
    </row>
    <row r="73" spans="1:5" x14ac:dyDescent="0.35">
      <c r="A73" s="25"/>
      <c r="E73" s="26"/>
    </row>
    <row r="74" spans="1:5" ht="16" thickBot="1" x14ac:dyDescent="0.4">
      <c r="A74" s="65" t="s">
        <v>45</v>
      </c>
      <c r="B74" s="66"/>
      <c r="C74" s="66"/>
      <c r="D74" s="66"/>
      <c r="E74" s="104">
        <f>(E70/C51)^(1/10)-1</f>
        <v>0.10428795762296672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2022-12-31T09:51:24Z</dcterms:modified>
</cp:coreProperties>
</file>