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B673AFD3-3E77-4D35-AD0A-1C2D913DDD51}" xr6:coauthVersionLast="44" xr6:coauthVersionMax="44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35" l="1"/>
  <c r="J57" i="35"/>
  <c r="I57" i="35"/>
  <c r="H57" i="35"/>
  <c r="D50" i="35"/>
  <c r="C49" i="35"/>
  <c r="I31" i="35"/>
  <c r="I33" i="35" s="1"/>
  <c r="D46" i="35" s="1"/>
  <c r="C55" i="35" s="1"/>
  <c r="I25" i="35"/>
  <c r="G18" i="35"/>
  <c r="H18" i="35" s="1"/>
  <c r="G17" i="35"/>
  <c r="F16" i="35"/>
  <c r="E16" i="35"/>
  <c r="D16" i="35"/>
  <c r="C16" i="35"/>
  <c r="F14" i="35"/>
  <c r="E14" i="35"/>
  <c r="D14" i="35"/>
  <c r="C14" i="35"/>
  <c r="F12" i="35"/>
  <c r="E12" i="35"/>
  <c r="D12" i="35"/>
  <c r="I18" i="34"/>
  <c r="J18" i="34" s="1"/>
  <c r="K18" i="34" s="1"/>
  <c r="L18" i="34" s="1"/>
  <c r="M18" i="34" s="1"/>
  <c r="N18" i="34" s="1"/>
  <c r="O18" i="34" s="1"/>
  <c r="P18" i="34" s="1"/>
  <c r="H18" i="34"/>
  <c r="I19" i="35" l="1"/>
  <c r="H19" i="35"/>
  <c r="G19" i="35"/>
  <c r="J19" i="35"/>
  <c r="I18" i="35"/>
  <c r="H17" i="35"/>
  <c r="I18" i="32"/>
  <c r="J18" i="32" s="1"/>
  <c r="K18" i="32" s="1"/>
  <c r="L18" i="32" s="1"/>
  <c r="M18" i="32" s="1"/>
  <c r="N18" i="32" s="1"/>
  <c r="O18" i="32" s="1"/>
  <c r="P18" i="32" s="1"/>
  <c r="H18" i="32"/>
  <c r="J12" i="32"/>
  <c r="J12" i="34"/>
  <c r="J18" i="35" l="1"/>
  <c r="I17" i="35"/>
  <c r="K18" i="35" l="1"/>
  <c r="J17" i="35"/>
  <c r="L18" i="35" l="1"/>
  <c r="M18" i="35" l="1"/>
  <c r="N18" i="35" l="1"/>
  <c r="O18" i="35" l="1"/>
  <c r="P18" i="35" l="1"/>
  <c r="D14" i="34" l="1"/>
  <c r="E14" i="34"/>
  <c r="F14" i="34"/>
  <c r="G14" i="34"/>
  <c r="H14" i="34"/>
  <c r="I14" i="34"/>
  <c r="C14" i="34"/>
  <c r="D50" i="34" l="1"/>
  <c r="D50" i="32"/>
  <c r="G18" i="34"/>
  <c r="G18" i="32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4" i="32" l="1"/>
  <c r="K11" i="32"/>
  <c r="K14" i="32" s="1"/>
  <c r="K15" i="32" s="1"/>
  <c r="L57" i="32" l="1"/>
  <c r="K19" i="32"/>
  <c r="K17" i="32"/>
  <c r="L11" i="32"/>
  <c r="K57" i="32" l="1"/>
  <c r="J19" i="32"/>
  <c r="J17" i="32"/>
  <c r="J16" i="32"/>
  <c r="M11" i="32"/>
  <c r="L14" i="32"/>
  <c r="L15" i="32" s="1"/>
  <c r="L17" i="32" l="1"/>
  <c r="M57" i="32"/>
  <c r="L19" i="32"/>
  <c r="N11" i="32"/>
  <c r="M14" i="32"/>
  <c r="M15" i="32" s="1"/>
  <c r="N57" i="32" l="1"/>
  <c r="M19" i="32"/>
  <c r="M17" i="32"/>
  <c r="N14" i="32"/>
  <c r="N15" i="32" s="1"/>
  <c r="O11" i="32"/>
  <c r="P11" i="32" l="1"/>
  <c r="O14" i="32"/>
  <c r="O15" i="32" s="1"/>
  <c r="N17" i="32"/>
  <c r="N19" i="32"/>
  <c r="O57" i="32"/>
  <c r="P57" i="32" l="1"/>
  <c r="O17" i="32"/>
  <c r="O19" i="32"/>
  <c r="P14" i="32"/>
  <c r="P15" i="32" s="1"/>
  <c r="Q11" i="32"/>
  <c r="Q14" i="32" s="1"/>
  <c r="Q15" i="32" s="1"/>
  <c r="P17" i="32" l="1"/>
  <c r="P19" i="32"/>
  <c r="D43" i="32"/>
  <c r="D41" i="32"/>
  <c r="D44" i="32"/>
  <c r="D40" i="32"/>
  <c r="Q57" i="32"/>
  <c r="D57" i="32" s="1"/>
  <c r="Q19" i="32"/>
  <c r="D42" i="32"/>
  <c r="D49" i="32" l="1"/>
  <c r="D51" i="32" s="1"/>
  <c r="D52" i="32" s="1"/>
  <c r="E62" i="32"/>
  <c r="E66" i="32"/>
  <c r="E68" i="32" s="1"/>
  <c r="D53" i="32" l="1"/>
  <c r="E70" i="32"/>
  <c r="E72" i="32" l="1"/>
  <c r="E74" i="32"/>
  <c r="K11" i="34"/>
  <c r="J14" i="34" l="1"/>
  <c r="K14" i="34"/>
  <c r="K15" i="34" s="1"/>
  <c r="L11" i="34"/>
  <c r="L14" i="34" l="1"/>
  <c r="L15" i="34" s="1"/>
  <c r="M11" i="34"/>
  <c r="K19" i="34"/>
  <c r="L57" i="34"/>
  <c r="K17" i="34"/>
  <c r="J17" i="34" l="1"/>
  <c r="K57" i="34"/>
  <c r="J19" i="34"/>
  <c r="J16" i="34"/>
  <c r="M14" i="34"/>
  <c r="M15" i="34" s="1"/>
  <c r="N11" i="34"/>
  <c r="L17" i="34"/>
  <c r="M57" i="34"/>
  <c r="L19" i="34"/>
  <c r="O11" i="34" l="1"/>
  <c r="N14" i="34"/>
  <c r="N15" i="34" s="1"/>
  <c r="N57" i="34"/>
  <c r="M17" i="34"/>
  <c r="M19" i="34"/>
  <c r="O57" i="34" l="1"/>
  <c r="N17" i="34"/>
  <c r="N19" i="34"/>
  <c r="P11" i="34"/>
  <c r="O14" i="34"/>
  <c r="O15" i="34" s="1"/>
  <c r="P57" i="34" l="1"/>
  <c r="O17" i="34"/>
  <c r="O19" i="34"/>
  <c r="Q11" i="34"/>
  <c r="Q14" i="34" s="1"/>
  <c r="Q15" i="34" s="1"/>
  <c r="P14" i="34"/>
  <c r="P15" i="34" s="1"/>
  <c r="D40" i="34" s="1"/>
  <c r="Q57" i="34" l="1"/>
  <c r="D57" i="34" s="1"/>
  <c r="Q19" i="34"/>
  <c r="P19" i="34"/>
  <c r="P17" i="34"/>
  <c r="D43" i="34"/>
  <c r="D42" i="34"/>
  <c r="D41" i="34"/>
  <c r="D44" i="34"/>
  <c r="E62" i="34" l="1"/>
  <c r="E66" i="34"/>
  <c r="E68" i="34" s="1"/>
  <c r="D49" i="34"/>
  <c r="D51" i="34" s="1"/>
  <c r="D52" i="34" l="1"/>
  <c r="D53" i="34"/>
  <c r="E70" i="34"/>
  <c r="E74" i="34" l="1"/>
  <c r="E72" i="34"/>
  <c r="G11" i="35" l="1"/>
  <c r="H11" i="35" s="1"/>
  <c r="H14" i="35" l="1"/>
  <c r="H16" i="35" s="1"/>
  <c r="I11" i="35"/>
  <c r="G14" i="35"/>
  <c r="G16" i="35" s="1"/>
  <c r="I14" i="35" l="1"/>
  <c r="I16" i="35" s="1"/>
  <c r="J11" i="35"/>
  <c r="J14" i="35" l="1"/>
  <c r="J16" i="35" s="1"/>
  <c r="K11" i="35"/>
  <c r="L11" i="35" l="1"/>
  <c r="K14" i="35"/>
  <c r="K15" i="35" s="1"/>
  <c r="K17" i="35" l="1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0" i="35" s="1"/>
  <c r="D42" i="35"/>
  <c r="D41" i="35" l="1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2" i="35" l="1"/>
  <c r="E74" i="35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<sst xmlns="http://schemas.openxmlformats.org/spreadsheetml/2006/main" count="149" uniqueCount="49">
  <si>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</si>
  <si>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</si>
  <si>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</si>
  <si>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</si>
  <si>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</si>
  <si>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</si>
  <si>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</si>
  <si>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</si>
  <si>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</si>
  <si>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</si>
  <si>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</si>
  <si>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</si>
  <si>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</si>
  <si>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</si>
  <si>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</si>
  <si>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</si>
  <si>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</si>
  <si>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</si>
  <si>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</si>
  <si>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</si>
  <si>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</si>
  <si>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</si>
  <si>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</si>
  <si>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</si>
  <si>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</si>
  <si>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</si>
  <si>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</si>
  <si>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</si>
  <si>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</si>
  <si>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</si>
  <si>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</si>
  <si>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</si>
  <si>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</si>
  <si>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</si>
  <si>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</si>
  <si>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</si>
  <si>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</si>
  <si>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</si>
  <si>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</si>
  <si>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</si>
  <si>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</si>
  <si>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 xml:space="preserve"> Annahmen für IDEXX</t>
  </si>
  <si>
    <t>Quellensteuer USA (25 %)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</si>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</sst>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9" fontId="5" fillId="8" borderId="0" xfId="1" applyNumberFormat="1" applyFont="1" applyFill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I71" sqref="I7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41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47</v>
      </c>
    </row>
    <row r="11" spans="1:28" x14ac:dyDescent="0.25">
      <c r="A11" s="5"/>
      <c r="B11" s="4" t="s">
        <v>4</v>
      </c>
      <c r="C11" s="84">
        <v>2213.2399999999998</v>
      </c>
      <c r="D11" s="84">
        <v>2406.91</v>
      </c>
      <c r="E11" s="84">
        <v>2706.66</v>
      </c>
      <c r="F11" s="84">
        <v>3215.36</v>
      </c>
      <c r="G11" s="74">
        <v>3355.24</v>
      </c>
      <c r="H11" s="74">
        <v>3587.56</v>
      </c>
      <c r="I11" s="74">
        <v>3942.45</v>
      </c>
      <c r="J11" s="74">
        <v>4339.6499999999996</v>
      </c>
      <c r="K11" s="74">
        <f t="shared" ref="J11:Q11" si="0">J11*(1+K12)</f>
        <v>4773.6149999999998</v>
      </c>
      <c r="L11" s="74">
        <f t="shared" si="0"/>
        <v>5107.7680499999997</v>
      </c>
      <c r="M11" s="74">
        <f t="shared" si="0"/>
        <v>5414.2341329999999</v>
      </c>
      <c r="N11" s="74">
        <f t="shared" si="0"/>
        <v>5684.9458396500004</v>
      </c>
      <c r="O11" s="74">
        <f t="shared" si="0"/>
        <v>5912.3436732360005</v>
      </c>
      <c r="P11" s="74">
        <f t="shared" si="0"/>
        <v>6089.713983433081</v>
      </c>
      <c r="Q11" s="74">
        <f t="shared" si="0"/>
        <v>6181.0596931845766</v>
      </c>
    </row>
    <row r="12" spans="1:28" x14ac:dyDescent="0.25">
      <c r="A12" s="5"/>
      <c r="B12" s="4" t="s">
        <v>1</v>
      </c>
      <c r="C12" s="88"/>
      <c r="D12" s="91">
        <f t="shared" ref="D12:J12" si="1">D11/C11-1</f>
        <v>8.7505196002241048E-2</v>
      </c>
      <c r="E12" s="91">
        <f t="shared" si="1"/>
        <v>0.12453726977743251</v>
      </c>
      <c r="F12" s="91">
        <f t="shared" si="1"/>
        <v>0.18794381266948945</v>
      </c>
      <c r="G12" s="87">
        <f t="shared" si="1"/>
        <v>4.3503682324840698E-2</v>
      </c>
      <c r="H12" s="87">
        <f t="shared" si="1"/>
        <v>6.9240948486546383E-2</v>
      </c>
      <c r="I12" s="87">
        <f t="shared" si="1"/>
        <v>9.8922387360768749E-2</v>
      </c>
      <c r="J12" s="87">
        <f t="shared" si="1"/>
        <v>0.10074953391926345</v>
      </c>
      <c r="K12" s="87">
        <v>0.1</v>
      </c>
      <c r="L12" s="73">
        <v>7.0000000000000007E-2</v>
      </c>
      <c r="M12" s="73">
        <v>0.06</v>
      </c>
      <c r="N12" s="73">
        <v>0.05</v>
      </c>
      <c r="O12" s="73">
        <v>0.04</v>
      </c>
      <c r="P12" s="73">
        <v>0.03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0.22359999999999999</v>
      </c>
      <c r="D13" s="90">
        <v>0.22570000000000001</v>
      </c>
      <c r="E13" s="90">
        <v>0.25719999999999998</v>
      </c>
      <c r="F13" s="90">
        <v>0.2949</v>
      </c>
      <c r="G13" s="86">
        <v>0.26629999999999998</v>
      </c>
      <c r="H13" s="86">
        <v>0.29070000000000001</v>
      </c>
      <c r="I13" s="86">
        <v>0.29870000000000002</v>
      </c>
      <c r="J13" s="86">
        <v>0.31</v>
      </c>
      <c r="K13" s="86">
        <v>0.31</v>
      </c>
      <c r="L13" s="86">
        <v>0.31</v>
      </c>
      <c r="M13" s="86">
        <v>0.31</v>
      </c>
      <c r="N13" s="86">
        <v>0.31</v>
      </c>
      <c r="O13" s="86">
        <v>0.31</v>
      </c>
      <c r="P13" s="86">
        <v>0.31</v>
      </c>
      <c r="Q13" s="86">
        <v>0.31</v>
      </c>
    </row>
    <row r="14" spans="1:28" ht="17.100000000000001" customHeight="1" x14ac:dyDescent="0.25">
      <c r="A14" s="5"/>
      <c r="B14" s="4" t="s">
        <v>16</v>
      </c>
      <c r="C14" s="84">
        <f>C11*C13</f>
        <v>494.88046399999996</v>
      </c>
      <c r="D14" s="84">
        <f t="shared" ref="D14:I14" si="2">D11*D13</f>
        <v>543.23958700000003</v>
      </c>
      <c r="E14" s="84">
        <f t="shared" si="2"/>
        <v>696.15295199999991</v>
      </c>
      <c r="F14" s="84">
        <f t="shared" si="2"/>
        <v>948.20966399999998</v>
      </c>
      <c r="G14" s="74">
        <f t="shared" si="2"/>
        <v>893.50041199999987</v>
      </c>
      <c r="H14" s="74">
        <f t="shared" si="2"/>
        <v>1042.9036920000001</v>
      </c>
      <c r="I14" s="74">
        <f t="shared" si="2"/>
        <v>1177.609815</v>
      </c>
      <c r="J14" s="74">
        <f>J11*J13</f>
        <v>1345.2914999999998</v>
      </c>
      <c r="K14" s="74">
        <f t="shared" ref="K14:Q14" si="3">K11*K13</f>
        <v>1479.8206499999999</v>
      </c>
      <c r="L14" s="74">
        <f t="shared" si="3"/>
        <v>1583.4080954999999</v>
      </c>
      <c r="M14" s="74">
        <f t="shared" si="3"/>
        <v>1678.4125812299999</v>
      </c>
      <c r="N14" s="74">
        <f t="shared" si="3"/>
        <v>1762.3332102915001</v>
      </c>
      <c r="O14" s="74">
        <f t="shared" si="3"/>
        <v>1832.8265387031602</v>
      </c>
      <c r="P14" s="74">
        <f t="shared" si="3"/>
        <v>1887.8113348642551</v>
      </c>
      <c r="Q14" s="74">
        <f t="shared" si="3"/>
        <v>1916.1285048872187</v>
      </c>
    </row>
    <row r="15" spans="1:28" x14ac:dyDescent="0.25">
      <c r="A15" s="102">
        <v>0.25</v>
      </c>
      <c r="B15" s="4" t="s">
        <v>39</v>
      </c>
      <c r="C15" s="84">
        <v>377.13609599999995</v>
      </c>
      <c r="D15" s="84">
        <v>427.70790699999998</v>
      </c>
      <c r="E15" s="84">
        <v>581.66123400000004</v>
      </c>
      <c r="F15" s="84">
        <v>744.99891200000002</v>
      </c>
      <c r="G15" s="74">
        <v>669.70590399999992</v>
      </c>
      <c r="H15" s="74">
        <v>788.54568799999993</v>
      </c>
      <c r="I15" s="74">
        <v>896.51312999999993</v>
      </c>
      <c r="J15" s="74">
        <v>1043.6858249999998</v>
      </c>
      <c r="K15" s="74">
        <f t="shared" ref="J15:Q15" si="4">K14*(1-$A$15)</f>
        <v>1109.8654875</v>
      </c>
      <c r="L15" s="74">
        <f t="shared" si="4"/>
        <v>1187.556071625</v>
      </c>
      <c r="M15" s="74">
        <f t="shared" si="4"/>
        <v>1258.8094359224999</v>
      </c>
      <c r="N15" s="74">
        <f t="shared" si="4"/>
        <v>1321.7499077186251</v>
      </c>
      <c r="O15" s="74">
        <f t="shared" si="4"/>
        <v>1374.61990402737</v>
      </c>
      <c r="P15" s="74">
        <f t="shared" si="4"/>
        <v>1415.8585011481914</v>
      </c>
      <c r="Q15" s="74">
        <f t="shared" si="4"/>
        <v>1437.096378665414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0.76207513416815742</v>
      </c>
      <c r="D16" s="15">
        <f t="shared" si="5"/>
        <v>0.78732831191847574</v>
      </c>
      <c r="E16" s="15">
        <f t="shared" si="5"/>
        <v>0.83553654743390371</v>
      </c>
      <c r="F16" s="15">
        <f t="shared" si="5"/>
        <v>0.78569006442861988</v>
      </c>
      <c r="G16" s="15">
        <f t="shared" si="5"/>
        <v>0.74953060458129928</v>
      </c>
      <c r="H16" s="15">
        <f t="shared" si="5"/>
        <v>0.75610595115239065</v>
      </c>
      <c r="I16" s="15">
        <f t="shared" si="5"/>
        <v>0.76129896216940063</v>
      </c>
      <c r="J16" s="15">
        <f t="shared" si="5"/>
        <v>0.77580645161290318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7.7333245265588912</v>
      </c>
      <c r="H17" s="74">
        <f t="shared" ref="H17:P17" si="6">H15/H18</f>
        <v>9.1513652326296615</v>
      </c>
      <c r="I17" s="74">
        <f t="shared" si="6"/>
        <v>10.456650702769362</v>
      </c>
      <c r="J17" s="74">
        <f t="shared" si="6"/>
        <v>12.234399303805281</v>
      </c>
      <c r="K17" s="74">
        <f t="shared" si="6"/>
        <v>13.075554997223961</v>
      </c>
      <c r="L17" s="74">
        <f t="shared" si="6"/>
        <v>14.061149595004663</v>
      </c>
      <c r="M17" s="74">
        <f t="shared" si="6"/>
        <v>14.979717156487377</v>
      </c>
      <c r="N17" s="74">
        <f t="shared" si="6"/>
        <v>15.80774172292638</v>
      </c>
      <c r="O17" s="74">
        <f t="shared" si="6"/>
        <v>16.522664715420536</v>
      </c>
      <c r="P17" s="74">
        <f t="shared" si="6"/>
        <v>17.103863976766991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86.6</v>
      </c>
      <c r="H18" s="74">
        <f>G18*0.995</f>
        <v>86.166999999999987</v>
      </c>
      <c r="I18" s="74">
        <f t="shared" ref="I18:P18" si="7">H18*0.995</f>
        <v>85.736164999999986</v>
      </c>
      <c r="J18" s="74">
        <f t="shared" si="7"/>
        <v>85.307484174999985</v>
      </c>
      <c r="K18" s="74">
        <f t="shared" si="7"/>
        <v>84.880946754124992</v>
      </c>
      <c r="L18" s="74">
        <f t="shared" si="7"/>
        <v>84.456542020354362</v>
      </c>
      <c r="M18" s="74">
        <f t="shared" si="7"/>
        <v>84.034259310252594</v>
      </c>
      <c r="N18" s="74">
        <f t="shared" si="7"/>
        <v>83.614088013701334</v>
      </c>
      <c r="O18" s="74">
        <f t="shared" si="7"/>
        <v>83.19601757363283</v>
      </c>
      <c r="P18" s="74">
        <f t="shared" si="7"/>
        <v>82.780037485764666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611.88296391046129</v>
      </c>
      <c r="H19" s="53">
        <f>H15/(1+$C$55)^2</f>
        <v>658.25676244505883</v>
      </c>
      <c r="I19" s="53">
        <f>I15/(1+$C$55)^3</f>
        <v>683.76892037937739</v>
      </c>
      <c r="J19" s="53">
        <f>J15/(1+$C$55)^4</f>
        <v>727.28850159515366</v>
      </c>
      <c r="K19" s="53">
        <f>K15/(1+$C$55)^5</f>
        <v>706.62909817642571</v>
      </c>
      <c r="L19" s="53">
        <f>L15/(1+$C$55)^6</f>
        <v>690.81145276270047</v>
      </c>
      <c r="M19" s="53">
        <f>M15/(1+$C$55)^7</f>
        <v>669.03621738552977</v>
      </c>
      <c r="N19" s="53">
        <f>N15/(1+$C$55)^8</f>
        <v>641.83465349913797</v>
      </c>
      <c r="O19" s="53">
        <f>O15/(1+$C$55)^9</f>
        <v>609.87486490553079</v>
      </c>
      <c r="P19" s="53">
        <f>P15/(1+$C$55)^10</f>
        <v>573.9343178188185</v>
      </c>
      <c r="Q19" s="54">
        <f>(Q15/(C55-Q12))/(1+C55)^10</f>
        <v>7327.5890891333402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44905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36426.557999999997</v>
      </c>
      <c r="D49" s="47">
        <f>SUM(G19:Q19)</f>
        <v>13900.906842011535</v>
      </c>
      <c r="E49" s="46" t="s">
        <v>48</v>
      </c>
    </row>
    <row r="50" spans="1:17" x14ac:dyDescent="0.25">
      <c r="A50" s="45"/>
      <c r="B50" s="46" t="s">
        <v>11</v>
      </c>
      <c r="C50" s="56">
        <v>86.6</v>
      </c>
      <c r="D50" s="56">
        <f>C50</f>
        <v>86.6</v>
      </c>
      <c r="E50" s="46"/>
    </row>
    <row r="51" spans="1:17" x14ac:dyDescent="0.25">
      <c r="A51" s="45"/>
      <c r="B51" s="46" t="s">
        <v>13</v>
      </c>
      <c r="C51" s="89">
        <v>420.63</v>
      </c>
      <c r="D51" s="56">
        <f>D49/(D50)</f>
        <v>160.51855475763898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105">
        <f>IF(C51/D51-1&lt;0,0,C51/D51-1)</f>
        <v>1.6204447245061084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11188027.98453881</v>
      </c>
      <c r="E57" s="46"/>
      <c r="F57" s="1" t="s">
        <v>23</v>
      </c>
      <c r="H57" s="1">
        <f>G15/(1+$B$57)</f>
        <v>604.42771119133556</v>
      </c>
      <c r="I57" s="1">
        <f>H15/(1+$B$57)^2</f>
        <v>642.31392954423984</v>
      </c>
      <c r="J57" s="1">
        <f>I15/(1+$B$57)^3</f>
        <v>659.07884701857279</v>
      </c>
      <c r="K57" s="1">
        <f>J15/(1+$B$57)^4</f>
        <v>692.48559468379517</v>
      </c>
      <c r="L57" s="1">
        <f>K15/(1+$B$57)^5</f>
        <v>664.61715154341744</v>
      </c>
      <c r="M57" s="1">
        <f>L15/(1+$B$57)^6</f>
        <v>641.82342251936518</v>
      </c>
      <c r="N57" s="1">
        <f>M15/(1+$B$57)^7</f>
        <v>614.01879771708218</v>
      </c>
      <c r="O57" s="1">
        <f>N15/(1+$B$57)^8</f>
        <v>581.87701949723476</v>
      </c>
      <c r="P57" s="1">
        <f>O15/(1+$B$57)^9</f>
        <v>546.16615548476898</v>
      </c>
      <c r="Q57" s="1">
        <f>(Q15/(B57-Q12))/(1+B57)^10</f>
        <v>5541.219355338998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20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342.07727953533981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62" t="s">
        <v>42</v>
      </c>
      <c r="E68" s="63">
        <f>(E66*0.25)*-1</f>
        <v>0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342.07727953533981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-0.18675016157825208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-2.0459496478642647E-2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C48" sqref="C4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41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47</v>
      </c>
    </row>
    <row r="11" spans="1:28" x14ac:dyDescent="0.25">
      <c r="A11" s="5"/>
      <c r="B11" s="4" t="s">
        <v>4</v>
      </c>
      <c r="C11" s="84">
        <v>2213.2399999999998</v>
      </c>
      <c r="D11" s="84">
        <v>2406.91</v>
      </c>
      <c r="E11" s="84">
        <v>2706.66</v>
      </c>
      <c r="F11" s="84">
        <v>3215.36</v>
      </c>
      <c r="G11" s="74">
        <v>3355.24</v>
      </c>
      <c r="H11" s="74">
        <v>3587.56</v>
      </c>
      <c r="I11" s="74">
        <v>3942.45</v>
      </c>
      <c r="J11" s="74">
        <v>4339.6499999999996</v>
      </c>
      <c r="K11" s="74">
        <f t="shared" ref="J11:Q11" si="0">J11*(1+K12)</f>
        <v>4947.201</v>
      </c>
      <c r="L11" s="74">
        <f t="shared" si="0"/>
        <v>5540.8651200000004</v>
      </c>
      <c r="M11" s="74">
        <f t="shared" si="0"/>
        <v>6094.9516320000012</v>
      </c>
      <c r="N11" s="74">
        <f t="shared" si="0"/>
        <v>6582.5477625600015</v>
      </c>
      <c r="O11" s="74">
        <f t="shared" si="0"/>
        <v>6911.6751506880018</v>
      </c>
      <c r="P11" s="74">
        <f t="shared" si="0"/>
        <v>7188.1421567155221</v>
      </c>
      <c r="Q11" s="74">
        <f t="shared" si="0"/>
        <v>7331.9049998498331</v>
      </c>
    </row>
    <row r="12" spans="1:28" x14ac:dyDescent="0.25">
      <c r="A12" s="5"/>
      <c r="B12" s="4" t="s">
        <v>1</v>
      </c>
      <c r="C12" s="88"/>
      <c r="D12" s="91">
        <f t="shared" ref="D12:J12" si="1">D11/C11-1</f>
        <v>8.7505196002241048E-2</v>
      </c>
      <c r="E12" s="91">
        <f t="shared" si="1"/>
        <v>0.12453726977743251</v>
      </c>
      <c r="F12" s="91">
        <f t="shared" si="1"/>
        <v>0.18794381266948945</v>
      </c>
      <c r="G12" s="87">
        <f t="shared" si="1"/>
        <v>4.3503682324840698E-2</v>
      </c>
      <c r="H12" s="87">
        <f t="shared" si="1"/>
        <v>6.9240948486546383E-2</v>
      </c>
      <c r="I12" s="87">
        <f t="shared" si="1"/>
        <v>9.8922387360768749E-2</v>
      </c>
      <c r="J12" s="87">
        <f t="shared" si="1"/>
        <v>0.10074953391926345</v>
      </c>
      <c r="K12" s="87">
        <v>0.14000000000000001</v>
      </c>
      <c r="L12" s="73">
        <v>0.12</v>
      </c>
      <c r="M12" s="73">
        <v>0.1</v>
      </c>
      <c r="N12" s="73">
        <v>0.08</v>
      </c>
      <c r="O12" s="73">
        <v>0.05</v>
      </c>
      <c r="P12" s="73">
        <v>0.04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0.22359999999999999</v>
      </c>
      <c r="D13" s="90">
        <v>0.22570000000000001</v>
      </c>
      <c r="E13" s="90">
        <v>0.25719999999999998</v>
      </c>
      <c r="F13" s="90">
        <v>0.2949</v>
      </c>
      <c r="G13" s="86">
        <v>0.26629999999999998</v>
      </c>
      <c r="H13" s="86">
        <v>0.29070000000000001</v>
      </c>
      <c r="I13" s="86">
        <v>0.29870000000000002</v>
      </c>
      <c r="J13" s="86">
        <v>0.31</v>
      </c>
      <c r="K13" s="86">
        <v>0.32</v>
      </c>
      <c r="L13" s="86">
        <v>0.33</v>
      </c>
      <c r="M13" s="86">
        <v>0.33500000000000002</v>
      </c>
      <c r="N13" s="86">
        <v>0.34</v>
      </c>
      <c r="O13" s="86">
        <v>0.34499999999999997</v>
      </c>
      <c r="P13" s="86">
        <v>0.35</v>
      </c>
      <c r="Q13" s="86">
        <v>0.35</v>
      </c>
    </row>
    <row r="14" spans="1:28" ht="17.100000000000001" customHeight="1" x14ac:dyDescent="0.25">
      <c r="A14" s="5"/>
      <c r="B14" s="4" t="s">
        <v>16</v>
      </c>
      <c r="C14" s="84">
        <f>C11*C13</f>
        <v>494.88046399999996</v>
      </c>
      <c r="D14" s="84">
        <f t="shared" ref="D14:J14" si="2">D11*D13</f>
        <v>543.23958700000003</v>
      </c>
      <c r="E14" s="84">
        <f t="shared" si="2"/>
        <v>696.15295199999991</v>
      </c>
      <c r="F14" s="84">
        <f t="shared" si="2"/>
        <v>948.20966399999998</v>
      </c>
      <c r="G14" s="74">
        <f t="shared" si="2"/>
        <v>893.50041199999987</v>
      </c>
      <c r="H14" s="74">
        <f t="shared" si="2"/>
        <v>1042.9036920000001</v>
      </c>
      <c r="I14" s="74">
        <f t="shared" si="2"/>
        <v>1177.609815</v>
      </c>
      <c r="J14" s="74">
        <f t="shared" si="2"/>
        <v>1345.2914999999998</v>
      </c>
      <c r="K14" s="74">
        <f t="shared" ref="K14:Q14" si="3">K11*K13</f>
        <v>1583.1043200000001</v>
      </c>
      <c r="L14" s="74">
        <f t="shared" si="3"/>
        <v>1828.4854896000002</v>
      </c>
      <c r="M14" s="74">
        <f t="shared" si="3"/>
        <v>2041.8087967200006</v>
      </c>
      <c r="N14" s="74">
        <f t="shared" si="3"/>
        <v>2238.0662392704007</v>
      </c>
      <c r="O14" s="74">
        <f>O11*O13</f>
        <v>2384.5279269873604</v>
      </c>
      <c r="P14" s="74">
        <f t="shared" si="3"/>
        <v>2515.8497548504324</v>
      </c>
      <c r="Q14" s="74">
        <f t="shared" si="3"/>
        <v>2566.1667499474415</v>
      </c>
    </row>
    <row r="15" spans="1:28" x14ac:dyDescent="0.25">
      <c r="A15" s="102">
        <v>0.25</v>
      </c>
      <c r="B15" s="4" t="s">
        <v>39</v>
      </c>
      <c r="C15" s="84">
        <v>377.13609599999995</v>
      </c>
      <c r="D15" s="84">
        <v>427.70790699999998</v>
      </c>
      <c r="E15" s="84">
        <v>581.66123400000004</v>
      </c>
      <c r="F15" s="84">
        <v>744.99891200000002</v>
      </c>
      <c r="G15" s="74">
        <v>669.70590399999992</v>
      </c>
      <c r="H15" s="74">
        <v>788.54568799999993</v>
      </c>
      <c r="I15" s="74">
        <v>896.51312999999993</v>
      </c>
      <c r="J15" s="74">
        <v>1043.6858249999998</v>
      </c>
      <c r="K15" s="74">
        <f>K14*(1-$A$15)</f>
        <v>1187.3282400000001</v>
      </c>
      <c r="L15" s="74">
        <f t="shared" ref="L15:Q15" si="4">L14*(1-$A$15)</f>
        <v>1371.3641172000002</v>
      </c>
      <c r="M15" s="74">
        <f t="shared" si="4"/>
        <v>1531.3565975400004</v>
      </c>
      <c r="N15" s="74">
        <f t="shared" si="4"/>
        <v>1678.5496794528005</v>
      </c>
      <c r="O15" s="74">
        <f>O14*(1-$A$15)</f>
        <v>1788.3959452405202</v>
      </c>
      <c r="P15" s="74">
        <f t="shared" si="4"/>
        <v>1886.8873161378242</v>
      </c>
      <c r="Q15" s="74">
        <f t="shared" si="4"/>
        <v>1924.6250624605811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0.76207513416815742</v>
      </c>
      <c r="D16" s="15">
        <f t="shared" si="5"/>
        <v>0.78732831191847574</v>
      </c>
      <c r="E16" s="15">
        <f t="shared" si="5"/>
        <v>0.83553654743390371</v>
      </c>
      <c r="F16" s="15">
        <f t="shared" si="5"/>
        <v>0.78569006442861988</v>
      </c>
      <c r="G16" s="15">
        <f t="shared" si="5"/>
        <v>0.74953060458129928</v>
      </c>
      <c r="H16" s="15">
        <f t="shared" si="5"/>
        <v>0.75610595115239065</v>
      </c>
      <c r="I16" s="15">
        <f t="shared" si="5"/>
        <v>0.76129896216940063</v>
      </c>
      <c r="J16" s="15">
        <f t="shared" si="5"/>
        <v>0.77580645161290318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7.7333245265588912</v>
      </c>
      <c r="H17" s="74">
        <f t="shared" ref="H17:O17" si="6">H15/H18</f>
        <v>9.1975842489560726</v>
      </c>
      <c r="I17" s="74">
        <f t="shared" si="6"/>
        <v>10.562540161217466</v>
      </c>
      <c r="J17" s="74">
        <f t="shared" si="6"/>
        <v>12.42070677687607</v>
      </c>
      <c r="K17" s="74">
        <f t="shared" si="6"/>
        <v>14.272896844340677</v>
      </c>
      <c r="L17" s="74">
        <f t="shared" si="6"/>
        <v>16.651712985064126</v>
      </c>
      <c r="M17" s="74">
        <f t="shared" si="6"/>
        <v>18.782235185173342</v>
      </c>
      <c r="N17" s="74">
        <f t="shared" si="6"/>
        <v>20.795527694845926</v>
      </c>
      <c r="O17" s="74">
        <f t="shared" si="6"/>
        <v>22.38021362881145</v>
      </c>
      <c r="P17" s="74">
        <f>P15/P18</f>
        <v>23.851259730309966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86.6</v>
      </c>
      <c r="H18" s="74">
        <f>G18*0.99</f>
        <v>85.733999999999995</v>
      </c>
      <c r="I18" s="74">
        <f t="shared" ref="I18:P18" si="7">H18*0.99</f>
        <v>84.876659999999987</v>
      </c>
      <c r="J18" s="74">
        <f t="shared" si="7"/>
        <v>84.027893399999982</v>
      </c>
      <c r="K18" s="74">
        <f t="shared" si="7"/>
        <v>83.187614465999985</v>
      </c>
      <c r="L18" s="74">
        <f t="shared" si="7"/>
        <v>82.355738321339985</v>
      </c>
      <c r="M18" s="74">
        <f t="shared" si="7"/>
        <v>81.532180938126587</v>
      </c>
      <c r="N18" s="74">
        <f t="shared" si="7"/>
        <v>80.716859128745327</v>
      </c>
      <c r="O18" s="74">
        <f t="shared" si="7"/>
        <v>79.909690537457877</v>
      </c>
      <c r="P18" s="74">
        <f t="shared" si="7"/>
        <v>79.110593632083294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611.88296391046129</v>
      </c>
      <c r="H19" s="53">
        <f>H15/(1+$C$55)^2</f>
        <v>658.25676244505883</v>
      </c>
      <c r="I19" s="53">
        <f>I15/(1+$C$55)^3</f>
        <v>683.76892037937739</v>
      </c>
      <c r="J19" s="53">
        <f>J15/(1+$C$55)^4</f>
        <v>727.28850159515366</v>
      </c>
      <c r="K19" s="53">
        <f>K15/(1+$C$55)^5</f>
        <v>755.94807922217046</v>
      </c>
      <c r="L19" s="53">
        <f>L15/(1+$C$55)^6</f>
        <v>797.73415395304448</v>
      </c>
      <c r="M19" s="53">
        <f>M15/(1+$C$55)^7</f>
        <v>813.89048751110056</v>
      </c>
      <c r="N19" s="53">
        <f>N15/(1+$C$55)^8</f>
        <v>815.09470558784744</v>
      </c>
      <c r="O19" s="53">
        <f>O15/(1+$C$55)^9</f>
        <v>793.45405395748185</v>
      </c>
      <c r="P19" s="53">
        <f>P15/(1+$C$55)^10</f>
        <v>764.87119561052521</v>
      </c>
      <c r="Q19" s="54">
        <f>(Q15/(C55-Q12))/(1+C55)^10</f>
        <v>10472.06200701659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44905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36426.557999999997</v>
      </c>
      <c r="D49" s="47">
        <f>SUM(G19:Q19)</f>
        <v>17894.251831188813</v>
      </c>
      <c r="E49" s="46" t="s">
        <v>48</v>
      </c>
    </row>
    <row r="50" spans="1:17" x14ac:dyDescent="0.25">
      <c r="A50" s="45"/>
      <c r="B50" s="46" t="s">
        <v>11</v>
      </c>
      <c r="C50" s="56">
        <v>86.6</v>
      </c>
      <c r="D50" s="56">
        <f>C50</f>
        <v>86.6</v>
      </c>
      <c r="E50" s="46"/>
    </row>
    <row r="51" spans="1:17" x14ac:dyDescent="0.25">
      <c r="A51" s="45"/>
      <c r="B51" s="46" t="s">
        <v>13</v>
      </c>
      <c r="C51" s="89">
        <v>420.63</v>
      </c>
      <c r="D51" s="56">
        <f>D49/(D50)</f>
        <v>206.63108350102556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1.0356569441204733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14089659.758830851</v>
      </c>
      <c r="E57" s="46"/>
      <c r="F57" s="1" t="s">
        <v>23</v>
      </c>
      <c r="H57" s="1">
        <f>G15/(1+$B$57)</f>
        <v>604.42771119133556</v>
      </c>
      <c r="I57" s="1">
        <f>H15/(1+$B$57)^2</f>
        <v>642.31392954423984</v>
      </c>
      <c r="J57" s="1">
        <f>I15/(1+$B$57)^3</f>
        <v>659.07884701857279</v>
      </c>
      <c r="K57" s="1">
        <f>J15/(1+$B$57)^4</f>
        <v>692.48559468379517</v>
      </c>
      <c r="L57" s="1">
        <f>K15/(1+$B$57)^5</f>
        <v>711.00392047811931</v>
      </c>
      <c r="M57" s="1">
        <f>L15/(1+$B$57)^6</f>
        <v>741.16383407240778</v>
      </c>
      <c r="N57" s="1">
        <f>M15/(1+$B$57)^7</f>
        <v>746.96114444722207</v>
      </c>
      <c r="O57" s="1">
        <f>N15/(1+$B$57)^8</f>
        <v>738.95180839759655</v>
      </c>
      <c r="P57" s="1">
        <f>O15/(1+$B$57)^9</f>
        <v>710.56830694422706</v>
      </c>
      <c r="Q57" s="1">
        <f>(Q15/(B57-Q12))/(1+B57)^10</f>
        <v>7842.7046620533347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32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763.24031136991891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62" t="s">
        <v>42</v>
      </c>
      <c r="E68" s="63">
        <f>(E66*0.25)*-1</f>
        <v>0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763.24031136991891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0.81451706100353971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6.1392722652857445E-2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H66" sqref="H6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41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47</v>
      </c>
    </row>
    <row r="11" spans="1:28" x14ac:dyDescent="0.25">
      <c r="A11" s="5"/>
      <c r="B11" s="4" t="s">
        <v>4</v>
      </c>
      <c r="C11" s="84">
        <v>2213.2399999999998</v>
      </c>
      <c r="D11" s="84">
        <v>2406.91</v>
      </c>
      <c r="E11" s="84">
        <v>2706.66</v>
      </c>
      <c r="F11" s="84">
        <v>3215.36</v>
      </c>
      <c r="G11" s="74">
        <f t="shared" ref="G11" si="0">F11*(1+G12)</f>
        <v>3745.8944000000001</v>
      </c>
      <c r="H11" s="74">
        <f t="shared" ref="H11" si="1">G11*(1+H12)</f>
        <v>4363.9669760000006</v>
      </c>
      <c r="I11" s="74">
        <f t="shared" ref="I11" si="2">H11*(1+I12)</f>
        <v>5084.0215270400013</v>
      </c>
      <c r="J11" s="74">
        <f t="shared" ref="J11" si="3">I11*(1+J12)</f>
        <v>5922.8850790016013</v>
      </c>
      <c r="K11" s="74">
        <f t="shared" ref="K11:Q11" si="4">J11*(1+K12)</f>
        <v>6900.161117036866</v>
      </c>
      <c r="L11" s="74">
        <f t="shared" si="4"/>
        <v>8038.6877013479489</v>
      </c>
      <c r="M11" s="74">
        <f t="shared" si="4"/>
        <v>9365.0711720703603</v>
      </c>
      <c r="N11" s="74">
        <f t="shared" si="4"/>
        <v>10910.30791546197</v>
      </c>
      <c r="O11" s="74">
        <f t="shared" si="4"/>
        <v>12710.508721513195</v>
      </c>
      <c r="P11" s="74">
        <f t="shared" si="4"/>
        <v>14235.76976809478</v>
      </c>
      <c r="Q11" s="74">
        <f t="shared" si="4"/>
        <v>14591.664012297149</v>
      </c>
    </row>
    <row r="12" spans="1:28" x14ac:dyDescent="0.25">
      <c r="A12" s="5"/>
      <c r="B12" s="4" t="s">
        <v>1</v>
      </c>
      <c r="C12" s="88"/>
      <c r="D12" s="91">
        <f t="shared" ref="D12:J12" si="5">D11/C11-1</f>
        <v>8.7505196002241048E-2</v>
      </c>
      <c r="E12" s="91">
        <f t="shared" si="5"/>
        <v>0.12453726977743251</v>
      </c>
      <c r="F12" s="91">
        <f t="shared" si="5"/>
        <v>0.18794381266948945</v>
      </c>
      <c r="G12" s="87">
        <v>0.16500000000000001</v>
      </c>
      <c r="H12" s="87">
        <v>0.16500000000000001</v>
      </c>
      <c r="I12" s="87">
        <v>0.16500000000000001</v>
      </c>
      <c r="J12" s="87">
        <v>0.16500000000000001</v>
      </c>
      <c r="K12" s="87">
        <v>0.16500000000000001</v>
      </c>
      <c r="L12" s="87">
        <v>0.16500000000000001</v>
      </c>
      <c r="M12" s="87">
        <v>0.16500000000000001</v>
      </c>
      <c r="N12" s="87">
        <v>0.16500000000000001</v>
      </c>
      <c r="O12" s="87">
        <v>0.16500000000000001</v>
      </c>
      <c r="P12" s="73">
        <v>0.12</v>
      </c>
      <c r="Q12" s="12">
        <v>2.5000000000000001E-2</v>
      </c>
    </row>
    <row r="13" spans="1:28" ht="15.95" customHeight="1" x14ac:dyDescent="0.25">
      <c r="A13" s="5"/>
      <c r="B13" s="4" t="s">
        <v>15</v>
      </c>
      <c r="C13" s="90">
        <v>0.22359999999999999</v>
      </c>
      <c r="D13" s="90">
        <v>0.22570000000000001</v>
      </c>
      <c r="E13" s="90">
        <v>0.25719999999999998</v>
      </c>
      <c r="F13" s="90">
        <v>0.2949</v>
      </c>
      <c r="G13" s="86">
        <v>0.31</v>
      </c>
      <c r="H13" s="86">
        <v>0.31</v>
      </c>
      <c r="I13" s="86">
        <v>0.31</v>
      </c>
      <c r="J13" s="86">
        <v>0.31</v>
      </c>
      <c r="K13" s="86">
        <v>0.32</v>
      </c>
      <c r="L13" s="86">
        <v>0.33</v>
      </c>
      <c r="M13" s="86">
        <v>0.33500000000000002</v>
      </c>
      <c r="N13" s="86">
        <v>0.34</v>
      </c>
      <c r="O13" s="86">
        <v>0.34499999999999997</v>
      </c>
      <c r="P13" s="86">
        <v>0.35</v>
      </c>
      <c r="Q13" s="86">
        <v>0.35</v>
      </c>
    </row>
    <row r="14" spans="1:28" ht="17.100000000000001" customHeight="1" x14ac:dyDescent="0.25">
      <c r="A14" s="5"/>
      <c r="B14" s="4" t="s">
        <v>16</v>
      </c>
      <c r="C14" s="84">
        <f>C11*C13</f>
        <v>494.88046399999996</v>
      </c>
      <c r="D14" s="84">
        <f t="shared" ref="D14:Q14" si="6">D11*D13</f>
        <v>543.23958700000003</v>
      </c>
      <c r="E14" s="84">
        <f t="shared" si="6"/>
        <v>696.15295199999991</v>
      </c>
      <c r="F14" s="84">
        <f t="shared" si="6"/>
        <v>948.20966399999998</v>
      </c>
      <c r="G14" s="74">
        <f t="shared" si="6"/>
        <v>1161.2272640000001</v>
      </c>
      <c r="H14" s="74">
        <f t="shared" si="6"/>
        <v>1352.8297625600003</v>
      </c>
      <c r="I14" s="74">
        <f t="shared" si="6"/>
        <v>1576.0466733824003</v>
      </c>
      <c r="J14" s="74">
        <f t="shared" si="6"/>
        <v>1836.0943744904964</v>
      </c>
      <c r="K14" s="74">
        <f t="shared" si="6"/>
        <v>2208.0515574517972</v>
      </c>
      <c r="L14" s="74">
        <f t="shared" si="6"/>
        <v>2652.7669414448233</v>
      </c>
      <c r="M14" s="74">
        <f t="shared" si="6"/>
        <v>3137.2988426435709</v>
      </c>
      <c r="N14" s="74">
        <f t="shared" si="6"/>
        <v>3709.5046912570701</v>
      </c>
      <c r="O14" s="74">
        <f>O11*O13</f>
        <v>4385.1255089220522</v>
      </c>
      <c r="P14" s="74">
        <f t="shared" si="6"/>
        <v>4982.5194188331725</v>
      </c>
      <c r="Q14" s="74">
        <f t="shared" si="6"/>
        <v>5107.082404304002</v>
      </c>
    </row>
    <row r="15" spans="1:28" x14ac:dyDescent="0.25">
      <c r="A15" s="102">
        <v>0.2</v>
      </c>
      <c r="B15" s="4" t="s">
        <v>39</v>
      </c>
      <c r="C15" s="84">
        <v>377.13609599999995</v>
      </c>
      <c r="D15" s="84">
        <v>427.70790699999998</v>
      </c>
      <c r="E15" s="84">
        <v>581.66123400000004</v>
      </c>
      <c r="F15" s="84">
        <v>744.99891200000002</v>
      </c>
      <c r="G15" s="74">
        <v>744.47159295999995</v>
      </c>
      <c r="H15" s="74">
        <v>950.98413383679986</v>
      </c>
      <c r="I15" s="74">
        <v>1141.2847987261439</v>
      </c>
      <c r="J15" s="74">
        <v>1400.1566981029885</v>
      </c>
      <c r="K15" s="74">
        <f>K14*(1-$A$15)</f>
        <v>1766.4412459614377</v>
      </c>
      <c r="L15" s="74">
        <f t="shared" ref="L15:Q15" si="7">L14*(1-$A$15)</f>
        <v>2122.2135531558588</v>
      </c>
      <c r="M15" s="74">
        <f t="shared" si="7"/>
        <v>2509.8390741148569</v>
      </c>
      <c r="N15" s="74">
        <f t="shared" si="7"/>
        <v>2967.6037530056565</v>
      </c>
      <c r="O15" s="74">
        <f>O14*(1-$A$15)</f>
        <v>3508.1004071376419</v>
      </c>
      <c r="P15" s="74">
        <f t="shared" si="7"/>
        <v>3986.0155350665382</v>
      </c>
      <c r="Q15" s="74">
        <f t="shared" si="7"/>
        <v>4085.6659234432018</v>
      </c>
    </row>
    <row r="16" spans="1:28" ht="32.25" hidden="1" thickBot="1" x14ac:dyDescent="0.3">
      <c r="A16" s="13" t="s">
        <v>6</v>
      </c>
      <c r="B16" s="14"/>
      <c r="C16" s="15">
        <f t="shared" ref="C16:J16" si="8">C15/C14</f>
        <v>0.76207513416815742</v>
      </c>
      <c r="D16" s="15">
        <f t="shared" si="8"/>
        <v>0.78732831191847574</v>
      </c>
      <c r="E16" s="15">
        <f t="shared" si="8"/>
        <v>0.83553654743390371</v>
      </c>
      <c r="F16" s="15">
        <f t="shared" si="8"/>
        <v>0.78569006442861988</v>
      </c>
      <c r="G16" s="15">
        <f t="shared" si="8"/>
        <v>0.64110757303059662</v>
      </c>
      <c r="H16" s="15">
        <f t="shared" si="8"/>
        <v>0.70295920459143657</v>
      </c>
      <c r="I16" s="15">
        <f t="shared" si="8"/>
        <v>0.72414403583416653</v>
      </c>
      <c r="J16" s="15">
        <f t="shared" si="8"/>
        <v>0.76257338269527808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8.5966696646651268</v>
      </c>
      <c r="H17" s="74">
        <f t="shared" ref="H17:O17" si="9">H15/H18</f>
        <v>11.092263674117619</v>
      </c>
      <c r="I17" s="74">
        <f t="shared" si="9"/>
        <v>13.446391490029699</v>
      </c>
      <c r="J17" s="74">
        <f t="shared" si="9"/>
        <v>16.662998933434988</v>
      </c>
      <c r="K17" s="74">
        <f t="shared" si="9"/>
        <v>21.234426029651427</v>
      </c>
      <c r="L17" s="74">
        <f t="shared" si="9"/>
        <v>25.768860754733247</v>
      </c>
      <c r="M17" s="74">
        <f t="shared" si="9"/>
        <v>30.783416379104736</v>
      </c>
      <c r="N17" s="74">
        <f t="shared" si="9"/>
        <v>36.765599963103831</v>
      </c>
      <c r="O17" s="74">
        <f t="shared" si="9"/>
        <v>43.900813324927228</v>
      </c>
      <c r="P17" s="74">
        <f>P15/P18</f>
        <v>50.385357409958935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86.6</v>
      </c>
      <c r="H18" s="74">
        <f>G18*0.99</f>
        <v>85.733999999999995</v>
      </c>
      <c r="I18" s="74">
        <f t="shared" ref="I18:P18" si="10">H18*0.99</f>
        <v>84.876659999999987</v>
      </c>
      <c r="J18" s="74">
        <f t="shared" si="10"/>
        <v>84.027893399999982</v>
      </c>
      <c r="K18" s="74">
        <f t="shared" si="10"/>
        <v>83.187614465999985</v>
      </c>
      <c r="L18" s="74">
        <f t="shared" si="10"/>
        <v>82.355738321339985</v>
      </c>
      <c r="M18" s="74">
        <f t="shared" si="10"/>
        <v>81.532180938126587</v>
      </c>
      <c r="N18" s="74">
        <f t="shared" si="10"/>
        <v>80.716859128745327</v>
      </c>
      <c r="O18" s="74">
        <f t="shared" si="10"/>
        <v>79.909690537457877</v>
      </c>
      <c r="P18" s="74">
        <f t="shared" si="10"/>
        <v>79.110593632083294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680.19332385564178</v>
      </c>
      <c r="H19" s="53">
        <f>H15/(1+$C$55)^2</f>
        <v>793.85601443556493</v>
      </c>
      <c r="I19" s="53">
        <f>I15/(1+$C$55)^3</f>
        <v>870.45582329660976</v>
      </c>
      <c r="J19" s="53">
        <f>J15/(1+$C$55)^4</f>
        <v>975.69387508136424</v>
      </c>
      <c r="K19" s="53">
        <f>K15/(1+$C$55)^5</f>
        <v>1124.6577163391366</v>
      </c>
      <c r="L19" s="53">
        <f>L15/(1+$C$55)^6</f>
        <v>1234.5096478031669</v>
      </c>
      <c r="M19" s="53">
        <f>M15/(1+$C$55)^7</f>
        <v>1333.9376020498662</v>
      </c>
      <c r="N19" s="53">
        <f>N15/(1+$C$55)^8</f>
        <v>1441.0524376889935</v>
      </c>
      <c r="O19" s="53">
        <f>O15/(1+$C$55)^9</f>
        <v>1556.431894816727</v>
      </c>
      <c r="P19" s="53">
        <f>P15/(1+$C$55)^10</f>
        <v>1615.776650758819</v>
      </c>
      <c r="Q19" s="54">
        <f>(Q15/(C55-Q12))/(1+C55)^10</f>
        <v>23829.799525579703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3.5000000000000003E-2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5.9500000000000004E-2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9.4500000000000001E-2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9.4500000000000001E-2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9.4500000000000001E-2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44905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36426.557999999997</v>
      </c>
      <c r="D49" s="47">
        <f>SUM(G19:Q19)</f>
        <v>35456.364511705593</v>
      </c>
      <c r="E49" s="46" t="s">
        <v>48</v>
      </c>
    </row>
    <row r="50" spans="1:17" x14ac:dyDescent="0.25">
      <c r="A50" s="45"/>
      <c r="B50" s="46" t="s">
        <v>11</v>
      </c>
      <c r="C50" s="56">
        <v>86.6</v>
      </c>
      <c r="D50" s="56">
        <f>C50</f>
        <v>86.6</v>
      </c>
      <c r="E50" s="46"/>
    </row>
    <row r="51" spans="1:17" x14ac:dyDescent="0.25">
      <c r="A51" s="45"/>
      <c r="B51" s="46" t="s">
        <v>13</v>
      </c>
      <c r="C51" s="89">
        <v>420.63</v>
      </c>
      <c r="D51" s="56">
        <f>D49/(D50)</f>
        <v>409.42684193655424</v>
      </c>
      <c r="E51" s="46" t="s">
        <v>48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2.7363027813359198E-2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9.4500000000000001E-2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26995568.724946726</v>
      </c>
      <c r="E57" s="46"/>
      <c r="F57" s="1" t="s">
        <v>23</v>
      </c>
      <c r="H57" s="1">
        <f>G15/(1+$B$57)</f>
        <v>671.90576981949448</v>
      </c>
      <c r="I57" s="1">
        <f>H15/(1+$B$57)^2</f>
        <v>774.62899770360593</v>
      </c>
      <c r="J57" s="1">
        <f>I15/(1+$B$57)^3</f>
        <v>839.02471039576506</v>
      </c>
      <c r="K57" s="1">
        <f>J15/(1+$B$57)^4</f>
        <v>929.00403599555182</v>
      </c>
      <c r="L57" s="1">
        <f>K15/(1+$B$57)^5</f>
        <v>1057.7922842741752</v>
      </c>
      <c r="M57" s="1">
        <f>L15/(1+$B$57)^6</f>
        <v>1146.9659400079158</v>
      </c>
      <c r="N57" s="1">
        <f>M15/(1+$B$57)^7</f>
        <v>1224.2427859003099</v>
      </c>
      <c r="O57" s="1">
        <f>N15/(1+$B$57)^8</f>
        <v>1306.4350651843113</v>
      </c>
      <c r="P57" s="1">
        <f>O15/(1+$B$57)^9</f>
        <v>1393.8440050281486</v>
      </c>
      <c r="Q57" s="1">
        <f>(Q15/(B57-Q12))/(1+B57)^10</f>
        <v>17651.725130637449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22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1108.4778630190965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62" t="s">
        <v>42</v>
      </c>
      <c r="E68" s="63">
        <f>(E66*0.25)*-1</f>
        <v>0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1108.4778630190965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1.6352800870577386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0.10174903308737115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2022-12-10T07:19:31Z</dcterms:modified>
</cp:coreProperties>
</file>