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7DC3EEB7-8628-49BB-84C7-7A776E2AF56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2" l="1"/>
  <c r="E68" i="34"/>
  <c r="I18" i="32" l="1"/>
  <c r="J18" i="32" s="1"/>
  <c r="K18" i="32" s="1"/>
  <c r="L18" i="32" s="1"/>
  <c r="M18" i="32" s="1"/>
  <c r="N18" i="32" s="1"/>
  <c r="O18" i="32" s="1"/>
  <c r="P18" i="32" s="1"/>
  <c r="H18" i="32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1" i="32" l="1"/>
  <c r="J14" i="32" s="1"/>
  <c r="K11" i="32"/>
  <c r="K14" i="32" s="1"/>
  <c r="K15" i="32" s="1"/>
  <c r="J15" i="32" l="1"/>
  <c r="L57" i="32"/>
  <c r="K19" i="32"/>
  <c r="K17" i="32"/>
  <c r="L11" i="32"/>
  <c r="K57" i="32" l="1"/>
  <c r="J19" i="32"/>
  <c r="J17" i="32"/>
  <c r="J16" i="32"/>
  <c r="M11" i="32"/>
  <c r="L14" i="32"/>
  <c r="L15" i="32" s="1"/>
  <c r="L17" i="32" l="1"/>
  <c r="M57" i="32"/>
  <c r="L19" i="32"/>
  <c r="N11" i="32"/>
  <c r="M14" i="32"/>
  <c r="M15" i="32" s="1"/>
  <c r="N57" i="32" l="1"/>
  <c r="M19" i="32"/>
  <c r="M17" i="32"/>
  <c r="N14" i="32"/>
  <c r="N15" i="32" s="1"/>
  <c r="O11" i="32"/>
  <c r="P11" i="32" l="1"/>
  <c r="O14" i="32"/>
  <c r="O15" i="32" s="1"/>
  <c r="N17" i="32"/>
  <c r="N19" i="32"/>
  <c r="O57" i="32"/>
  <c r="P57" i="32" l="1"/>
  <c r="O17" i="32"/>
  <c r="O19" i="32"/>
  <c r="P14" i="32"/>
  <c r="P15" i="32" s="1"/>
  <c r="Q11" i="32"/>
  <c r="Q14" i="32" s="1"/>
  <c r="Q15" i="32" s="1"/>
  <c r="P17" i="32" l="1"/>
  <c r="P19" i="32"/>
  <c r="D43" i="32"/>
  <c r="D41" i="32"/>
  <c r="D44" i="32"/>
  <c r="D40" i="32"/>
  <c r="Q57" i="32"/>
  <c r="D57" i="32" s="1"/>
  <c r="Q19" i="32"/>
  <c r="D42" i="32"/>
  <c r="D49" i="32" l="1"/>
  <c r="D51" i="32" s="1"/>
  <c r="D52" i="32" s="1"/>
  <c r="E62" i="32"/>
  <c r="E66" i="32"/>
  <c r="D53" i="32" l="1"/>
  <c r="E70" i="32"/>
  <c r="E72" i="32" l="1"/>
  <c r="E74" i="32"/>
  <c r="J11" i="34"/>
  <c r="K11" i="34" s="1"/>
  <c r="J14" i="34" l="1"/>
  <c r="K14" i="34"/>
  <c r="K15" i="34" s="1"/>
  <c r="L11" i="34"/>
  <c r="J15" i="34" l="1"/>
  <c r="L14" i="34"/>
  <c r="L15" i="34" s="1"/>
  <c r="M11" i="34"/>
  <c r="K19" i="34"/>
  <c r="L57" i="34"/>
  <c r="K17" i="34"/>
  <c r="J17" i="34" l="1"/>
  <c r="K57" i="34"/>
  <c r="J19" i="34"/>
  <c r="J16" i="34"/>
  <c r="M14" i="34"/>
  <c r="M15" i="34" s="1"/>
  <c r="N11" i="34"/>
  <c r="L17" i="34"/>
  <c r="M57" i="34"/>
  <c r="L19" i="34"/>
  <c r="O11" i="34" l="1"/>
  <c r="N14" i="34"/>
  <c r="N15" i="34" s="1"/>
  <c r="N57" i="34"/>
  <c r="M17" i="34"/>
  <c r="M19" i="34"/>
  <c r="O57" i="34" l="1"/>
  <c r="N17" i="34"/>
  <c r="N19" i="34"/>
  <c r="P11" i="34"/>
  <c r="O14" i="34"/>
  <c r="O15" i="34" s="1"/>
  <c r="P57" i="34" l="1"/>
  <c r="O17" i="34"/>
  <c r="O19" i="34"/>
  <c r="Q11" i="34"/>
  <c r="Q14" i="34" s="1"/>
  <c r="Q15" i="34" s="1"/>
  <c r="P14" i="34"/>
  <c r="P15" i="34" s="1"/>
  <c r="D40" i="34" s="1"/>
  <c r="Q57" i="34" l="1"/>
  <c r="D57" i="34" s="1"/>
  <c r="Q19" i="34"/>
  <c r="P19" i="34"/>
  <c r="P17" i="34"/>
  <c r="D43" i="34"/>
  <c r="D42" i="34"/>
  <c r="D41" i="34"/>
  <c r="D44" i="34"/>
  <c r="E62" i="34" l="1"/>
  <c r="E66" i="34"/>
  <c r="D49" i="34"/>
  <c r="D51" i="34" s="1"/>
  <c r="D52" i="34" l="1"/>
  <c r="D53" i="34"/>
  <c r="E70" i="34"/>
  <c r="E74" i="34" l="1"/>
  <c r="E72" i="34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<sst xmlns="http://schemas.openxmlformats.org/spreadsheetml/2006/main" count="99" uniqueCount="49">
  <si>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</si>
  <si>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</si>
  <si>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</si>
  <si>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</si>
  <si>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</si>
  <si>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</si>
  <si>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</si>
  <si>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</si>
  <si>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</si>
  <si>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</si>
  <si>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</si>
  <si>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</si>
  <si>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</si>
  <si>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</si>
  <si>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</si>
  <si>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</si>
  <si>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</si>
  <si>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</si>
  <si>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</si>
  <si>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</si>
  <si>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</si>
  <si>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</si>
  <si>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</si>
  <si>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</si>
  <si>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</si>
  <si>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</si>
  <si>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</si>
  <si>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</si>
  <si>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</si>
  <si>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</si>
  <si>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</si>
  <si>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</si>
  <si>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</si>
  <si>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</si>
  <si>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</si>
  <si>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</si>
  <si>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</si>
  <si>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</si>
  <si>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</si>
  <si>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</si>
  <si>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</si>
  <si>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</si>
  <si>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 xml:space="preserve"> Annahmen für Shin-Etsu</t>
  </si>
  <si>
    <t>Quellensteuer Japan (25,315 %)</t>
  </si>
  <si>
    <t>KGV Multiple in 2032</t>
  </si>
  <si>
    <t>Gesamtwert 2032</t>
  </si>
  <si>
    <t>Steigerung Gesamt bis 2032 in Prozent</t>
  </si>
  <si>
    <t>Renditeerwartung bis 2032 pro Jahr</t>
  </si>
  <si>
    <t>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</si>
</sst>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E49" sqref="E49:E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42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1594036</v>
      </c>
      <c r="D11" s="84">
        <v>1543525</v>
      </c>
      <c r="E11" s="84">
        <v>1496906</v>
      </c>
      <c r="F11" s="84">
        <v>2074428</v>
      </c>
      <c r="G11" s="74">
        <v>2673311.77</v>
      </c>
      <c r="H11" s="74">
        <v>2584729.42</v>
      </c>
      <c r="I11" s="74">
        <v>2736178.54</v>
      </c>
      <c r="J11" s="74">
        <f t="shared" ref="J11:Q11" si="0">I11*(1+J12)</f>
        <v>2955072.8232000005</v>
      </c>
      <c r="K11" s="74">
        <f t="shared" si="0"/>
        <v>3161927.9208240006</v>
      </c>
      <c r="L11" s="74">
        <f t="shared" si="0"/>
        <v>3383262.8752816808</v>
      </c>
      <c r="M11" s="74">
        <f t="shared" si="0"/>
        <v>3586258.647798582</v>
      </c>
      <c r="N11" s="74">
        <f t="shared" si="0"/>
        <v>3765571.5801885114</v>
      </c>
      <c r="O11" s="74">
        <f t="shared" si="0"/>
        <v>3916194.4433960519</v>
      </c>
      <c r="P11" s="74">
        <f t="shared" si="0"/>
        <v>4033680.2766979337</v>
      </c>
      <c r="Q11" s="74">
        <f t="shared" si="0"/>
        <v>4094185.4808484023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-3.1687490119420181E-2</v>
      </c>
      <c r="E12" s="91">
        <f t="shared" si="1"/>
        <v>-3.0202944558721079E-2</v>
      </c>
      <c r="F12" s="91">
        <f t="shared" si="1"/>
        <v>0.38581046505258176</v>
      </c>
      <c r="G12" s="87">
        <f t="shared" si="1"/>
        <v>0.28869826766703888</v>
      </c>
      <c r="H12" s="87">
        <f t="shared" si="1"/>
        <v>-3.3135809670265304E-2</v>
      </c>
      <c r="I12" s="87">
        <f t="shared" si="1"/>
        <v>5.8593800506979266E-2</v>
      </c>
      <c r="J12" s="87">
        <v>0.08</v>
      </c>
      <c r="K12" s="87">
        <v>7.0000000000000007E-2</v>
      </c>
      <c r="L12" s="73">
        <v>7.0000000000000007E-2</v>
      </c>
      <c r="M12" s="73">
        <v>0.06</v>
      </c>
      <c r="N12" s="73">
        <v>0.05</v>
      </c>
      <c r="O12" s="73">
        <v>0.04</v>
      </c>
      <c r="P12" s="73">
        <v>0.03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0.25330000000000003</v>
      </c>
      <c r="D13" s="90">
        <v>0.2631</v>
      </c>
      <c r="E13" s="90">
        <v>0.26200000000000001</v>
      </c>
      <c r="F13" s="90">
        <v>0.32429999999999998</v>
      </c>
      <c r="G13" s="86">
        <v>0.35820000000000002</v>
      </c>
      <c r="H13" s="86">
        <v>0.32050000000000001</v>
      </c>
      <c r="I13" s="86">
        <v>0.32250000000000001</v>
      </c>
      <c r="J13" s="86">
        <v>0.32</v>
      </c>
      <c r="K13" s="86">
        <v>0.32</v>
      </c>
      <c r="L13" s="86">
        <v>0.315</v>
      </c>
      <c r="M13" s="86">
        <v>0.315</v>
      </c>
      <c r="N13" s="86">
        <v>0.31</v>
      </c>
      <c r="O13" s="86">
        <v>0.30499999999999999</v>
      </c>
      <c r="P13" s="86">
        <v>0.3</v>
      </c>
      <c r="Q13" s="86">
        <v>0.3</v>
      </c>
    </row>
    <row r="14" spans="1:28" ht="17.100000000000001" customHeight="1" x14ac:dyDescent="0.25">
      <c r="A14" s="5"/>
      <c r="B14" s="4" t="s">
        <v>16</v>
      </c>
      <c r="C14" s="84">
        <f>C11*C13</f>
        <v>403769.31880000007</v>
      </c>
      <c r="D14" s="84">
        <f t="shared" ref="D14:I14" si="2">D11*D13</f>
        <v>406101.42749999999</v>
      </c>
      <c r="E14" s="84">
        <f t="shared" si="2"/>
        <v>392189.37200000003</v>
      </c>
      <c r="F14" s="84">
        <f t="shared" si="2"/>
        <v>672737.0003999999</v>
      </c>
      <c r="G14" s="74">
        <f t="shared" si="2"/>
        <v>957580.27601400006</v>
      </c>
      <c r="H14" s="74">
        <f t="shared" si="2"/>
        <v>828405.77911</v>
      </c>
      <c r="I14" s="74">
        <f t="shared" si="2"/>
        <v>882417.57915000001</v>
      </c>
      <c r="J14" s="74">
        <f>J11*J13</f>
        <v>945623.30342400016</v>
      </c>
      <c r="K14" s="74">
        <f t="shared" ref="K14:Q14" si="3">K11*K13</f>
        <v>1011816.9346636803</v>
      </c>
      <c r="L14" s="74">
        <f t="shared" si="3"/>
        <v>1065727.8057137295</v>
      </c>
      <c r="M14" s="74">
        <f t="shared" si="3"/>
        <v>1129671.4740565533</v>
      </c>
      <c r="N14" s="74">
        <f t="shared" si="3"/>
        <v>1167327.1898584384</v>
      </c>
      <c r="O14" s="74">
        <f t="shared" si="3"/>
        <v>1194439.3052357959</v>
      </c>
      <c r="P14" s="74">
        <f t="shared" si="3"/>
        <v>1210104.0830093801</v>
      </c>
      <c r="Q14" s="74">
        <f t="shared" si="3"/>
        <v>1228255.6442545205</v>
      </c>
    </row>
    <row r="15" spans="1:28" x14ac:dyDescent="0.25">
      <c r="A15" s="102">
        <v>0.25</v>
      </c>
      <c r="B15" s="4" t="s">
        <v>39</v>
      </c>
      <c r="C15" s="84">
        <v>309083.58039999998</v>
      </c>
      <c r="D15" s="84">
        <v>313952.98499999999</v>
      </c>
      <c r="E15" s="84">
        <v>293692.9572</v>
      </c>
      <c r="F15" s="84">
        <v>500144.59080000001</v>
      </c>
      <c r="G15" s="74">
        <v>695328.39137700002</v>
      </c>
      <c r="H15" s="74">
        <v>593453.874832</v>
      </c>
      <c r="I15" s="74">
        <v>633151.71415599994</v>
      </c>
      <c r="J15" s="74">
        <f t="shared" ref="J15:Q15" si="4">J14*(1-$A$15)</f>
        <v>709217.47756800009</v>
      </c>
      <c r="K15" s="74">
        <f t="shared" si="4"/>
        <v>758862.70099776017</v>
      </c>
      <c r="L15" s="74">
        <f t="shared" si="4"/>
        <v>799295.8542852971</v>
      </c>
      <c r="M15" s="74">
        <f t="shared" si="4"/>
        <v>847253.60554241505</v>
      </c>
      <c r="N15" s="74">
        <f t="shared" si="4"/>
        <v>875495.39239382884</v>
      </c>
      <c r="O15" s="74">
        <f t="shared" si="4"/>
        <v>895829.47892684699</v>
      </c>
      <c r="P15" s="74">
        <f t="shared" si="4"/>
        <v>907578.06225703517</v>
      </c>
      <c r="Q15" s="74">
        <f t="shared" si="4"/>
        <v>921191.7331908904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0.76549545992893786</v>
      </c>
      <c r="D16" s="15">
        <f t="shared" si="5"/>
        <v>0.77309007981755984</v>
      </c>
      <c r="E16" s="15">
        <f t="shared" si="5"/>
        <v>0.74885496183206102</v>
      </c>
      <c r="F16" s="15">
        <f t="shared" si="5"/>
        <v>0.74344742522355856</v>
      </c>
      <c r="G16" s="15">
        <f t="shared" si="5"/>
        <v>0.72613065326633164</v>
      </c>
      <c r="H16" s="15">
        <f t="shared" si="5"/>
        <v>0.71638065522620908</v>
      </c>
      <c r="I16" s="15">
        <f t="shared" si="5"/>
        <v>0.71751937984496117</v>
      </c>
      <c r="J16" s="15">
        <f t="shared" si="5"/>
        <v>0.75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1672.2664535281385</v>
      </c>
      <c r="H17" s="74">
        <f t="shared" ref="H17:P17" si="6">H15/H18</f>
        <v>1427.2579962289562</v>
      </c>
      <c r="I17" s="74">
        <f t="shared" si="6"/>
        <v>1522.7313952765751</v>
      </c>
      <c r="J17" s="74">
        <f t="shared" si="6"/>
        <v>1705.6697392207793</v>
      </c>
      <c r="K17" s="74">
        <f t="shared" si="6"/>
        <v>1825.066620966234</v>
      </c>
      <c r="L17" s="74">
        <f t="shared" si="6"/>
        <v>1922.3084518645912</v>
      </c>
      <c r="M17" s="74">
        <f t="shared" si="6"/>
        <v>2037.6469589764672</v>
      </c>
      <c r="N17" s="74">
        <f t="shared" si="6"/>
        <v>2105.5685242756826</v>
      </c>
      <c r="O17" s="74">
        <f t="shared" si="6"/>
        <v>2154.4720512911181</v>
      </c>
      <c r="P17" s="74">
        <f t="shared" si="6"/>
        <v>2182.7274224555922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415.8</v>
      </c>
      <c r="H18" s="74">
        <f>G18*1</f>
        <v>415.8</v>
      </c>
      <c r="I18" s="74">
        <f t="shared" ref="I18:P18" si="7">H18*1</f>
        <v>415.8</v>
      </c>
      <c r="J18" s="74">
        <f t="shared" si="7"/>
        <v>415.8</v>
      </c>
      <c r="K18" s="74">
        <f t="shared" si="7"/>
        <v>415.8</v>
      </c>
      <c r="L18" s="74">
        <f t="shared" si="7"/>
        <v>415.8</v>
      </c>
      <c r="M18" s="74">
        <f t="shared" si="7"/>
        <v>415.8</v>
      </c>
      <c r="N18" s="74">
        <f t="shared" si="7"/>
        <v>415.8</v>
      </c>
      <c r="O18" s="74">
        <f t="shared" si="7"/>
        <v>415.8</v>
      </c>
      <c r="P18" s="74">
        <f t="shared" si="7"/>
        <v>415.8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633268.11600819672</v>
      </c>
      <c r="H19" s="53">
        <f>H15/(1+$C$55)^2</f>
        <v>492246.10637655476</v>
      </c>
      <c r="I19" s="53">
        <f>I15/(1+$C$55)^3</f>
        <v>478300.42486953246</v>
      </c>
      <c r="J19" s="53">
        <f>J15/(1+$C$55)^4</f>
        <v>487944.09780249017</v>
      </c>
      <c r="K19" s="53">
        <f>K15/(1+$C$55)^5</f>
        <v>475501.07891499496</v>
      </c>
      <c r="L19" s="53">
        <f>L15/(1+$C$55)^6</f>
        <v>456135.12821123365</v>
      </c>
      <c r="M19" s="53">
        <f>M15/(1+$C$55)^7</f>
        <v>440349.0308778758</v>
      </c>
      <c r="N19" s="53">
        <f>N15/(1+$C$55)^8</f>
        <v>414414.69208300393</v>
      </c>
      <c r="O19" s="53">
        <f>O15/(1+$C$55)^9</f>
        <v>386192.9030164195</v>
      </c>
      <c r="P19" s="53">
        <f>P15/(1+$C$55)^10</f>
        <v>356336.72857378132</v>
      </c>
      <c r="Q19" s="54">
        <f>(Q15/(C55-Q12))/(1+C55)^10</f>
        <v>4357611.8012335878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6.3000000000000014E-2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9.8000000000000018E-2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9.8000000000000018E-2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9.8000000000000018E-2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44898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7282737</v>
      </c>
      <c r="D49" s="47">
        <f>SUM(G19:Q19)</f>
        <v>8978300.107967671</v>
      </c>
      <c r="E49" s="46" t="s">
        <v>48</v>
      </c>
    </row>
    <row r="50" spans="1:17" x14ac:dyDescent="0.25">
      <c r="A50" s="45"/>
      <c r="B50" s="46" t="s">
        <v>11</v>
      </c>
      <c r="C50" s="56">
        <v>415.8</v>
      </c>
      <c r="D50" s="56">
        <f>C50</f>
        <v>415.8</v>
      </c>
      <c r="E50" s="46"/>
    </row>
    <row r="51" spans="1:17" x14ac:dyDescent="0.25">
      <c r="A51" s="45"/>
      <c r="B51" s="46" t="s">
        <v>13</v>
      </c>
      <c r="C51" s="89">
        <v>17515</v>
      </c>
      <c r="D51" s="56">
        <f>D49/(D50)</f>
        <v>21592.8333524956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0.18885123994273323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9.8000000000000018E-2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7639995094.1492119</v>
      </c>
      <c r="E57" s="46"/>
      <c r="F57" s="1" t="s">
        <v>23</v>
      </c>
      <c r="H57" s="1">
        <f>G15/(1+$B$57)</f>
        <v>627552.69979873637</v>
      </c>
      <c r="I57" s="1">
        <f>H15/(1+$B$57)^2</f>
        <v>483400.89375594613</v>
      </c>
      <c r="J57" s="1">
        <f>I15/(1+$B$57)^3</f>
        <v>465466.58134696749</v>
      </c>
      <c r="K57" s="1">
        <f>J15/(1+$B$57)^4</f>
        <v>470565.83020452328</v>
      </c>
      <c r="L57" s="1">
        <f>K15/(1+$B$57)^5</f>
        <v>454427.29090148007</v>
      </c>
      <c r="M57" s="1">
        <f>L15/(1+$B$57)^6</f>
        <v>431985.32941771165</v>
      </c>
      <c r="N57" s="1">
        <f>M15/(1+$B$57)^7</f>
        <v>413271.16352235957</v>
      </c>
      <c r="O57" s="1">
        <f>N15/(1+$B$57)^8</f>
        <v>385421.36188908364</v>
      </c>
      <c r="P57" s="1">
        <f>O15/(1+$B$57)^9</f>
        <v>355932.38613956369</v>
      </c>
      <c r="Q57" s="1">
        <f>(Q15/(B57-Q12))/(1+B57)^10</f>
        <v>3551971.5571728395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44</v>
      </c>
      <c r="B59" s="23"/>
      <c r="C59" s="69">
        <v>7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15279.091957189146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5566.7146842252405</v>
      </c>
    </row>
    <row r="67" spans="1:5" x14ac:dyDescent="0.25">
      <c r="A67" s="25"/>
      <c r="E67" s="61"/>
    </row>
    <row r="68" spans="1:5" x14ac:dyDescent="0.25">
      <c r="A68" s="62" t="s">
        <v>43</v>
      </c>
      <c r="E68" s="63">
        <f>(E66*0.25315)*-1</f>
        <v>-1409.2138223116197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45</v>
      </c>
      <c r="E70" s="60">
        <f>SUM(E62:E68)</f>
        <v>19436.592819102767</v>
      </c>
    </row>
    <row r="71" spans="1:5" x14ac:dyDescent="0.25">
      <c r="A71" s="25"/>
      <c r="E71" s="60"/>
    </row>
    <row r="72" spans="1:5" x14ac:dyDescent="0.25">
      <c r="A72" s="25" t="s">
        <v>46</v>
      </c>
      <c r="E72" s="64">
        <f>E70/C51-1</f>
        <v>0.10971126572096868</v>
      </c>
    </row>
    <row r="73" spans="1:5" x14ac:dyDescent="0.25">
      <c r="A73" s="25"/>
      <c r="E73" s="26"/>
    </row>
    <row r="74" spans="1:5" ht="16.5" thickBot="1" x14ac:dyDescent="0.3">
      <c r="A74" s="65" t="s">
        <v>47</v>
      </c>
      <c r="B74" s="66"/>
      <c r="C74" s="66"/>
      <c r="D74" s="66"/>
      <c r="E74" s="104">
        <f>(E70/C51)^(1/10)-1</f>
        <v>1.0464358464511658E-2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G54" sqref="G5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42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1594036</v>
      </c>
      <c r="D11" s="84">
        <v>1543525</v>
      </c>
      <c r="E11" s="84">
        <v>1496906</v>
      </c>
      <c r="F11" s="84">
        <v>2074428</v>
      </c>
      <c r="G11" s="74">
        <v>2673311.77</v>
      </c>
      <c r="H11" s="74">
        <v>2584729.42</v>
      </c>
      <c r="I11" s="74">
        <v>2736178.54</v>
      </c>
      <c r="J11" s="74">
        <f t="shared" ref="J11:Q11" si="0">I11*(1+J12)</f>
        <v>3009796.3940000003</v>
      </c>
      <c r="K11" s="74">
        <f t="shared" si="0"/>
        <v>3310776.0334000005</v>
      </c>
      <c r="L11" s="74">
        <f t="shared" si="0"/>
        <v>3608745.8764060009</v>
      </c>
      <c r="M11" s="74">
        <f t="shared" si="0"/>
        <v>3897445.5465184813</v>
      </c>
      <c r="N11" s="74">
        <f t="shared" si="0"/>
        <v>4170266.7347747753</v>
      </c>
      <c r="O11" s="74">
        <f t="shared" si="0"/>
        <v>4420482.7388612619</v>
      </c>
      <c r="P11" s="74">
        <f t="shared" si="0"/>
        <v>4597302.0484157121</v>
      </c>
      <c r="Q11" s="74">
        <f t="shared" si="0"/>
        <v>4689248.0893840268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-3.1687490119420181E-2</v>
      </c>
      <c r="E12" s="91">
        <f t="shared" si="1"/>
        <v>-3.0202944558721079E-2</v>
      </c>
      <c r="F12" s="91">
        <f t="shared" si="1"/>
        <v>0.38581046505258176</v>
      </c>
      <c r="G12" s="87">
        <f t="shared" si="1"/>
        <v>0.28869826766703888</v>
      </c>
      <c r="H12" s="87">
        <f t="shared" si="1"/>
        <v>-3.3135809670265304E-2</v>
      </c>
      <c r="I12" s="87">
        <f t="shared" si="1"/>
        <v>5.8593800506979266E-2</v>
      </c>
      <c r="J12" s="87">
        <v>0.1</v>
      </c>
      <c r="K12" s="87">
        <v>0.1</v>
      </c>
      <c r="L12" s="73">
        <v>0.09</v>
      </c>
      <c r="M12" s="73">
        <v>0.08</v>
      </c>
      <c r="N12" s="73">
        <v>7.0000000000000007E-2</v>
      </c>
      <c r="O12" s="73">
        <v>0.06</v>
      </c>
      <c r="P12" s="73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0.25330000000000003</v>
      </c>
      <c r="D13" s="90">
        <v>0.2631</v>
      </c>
      <c r="E13" s="90">
        <v>0.26200000000000001</v>
      </c>
      <c r="F13" s="90">
        <v>0.32429999999999998</v>
      </c>
      <c r="G13" s="86">
        <v>0.35820000000000002</v>
      </c>
      <c r="H13" s="86">
        <v>0.32050000000000001</v>
      </c>
      <c r="I13" s="86">
        <v>0.32250000000000001</v>
      </c>
      <c r="J13" s="86">
        <v>0.32500000000000001</v>
      </c>
      <c r="K13" s="86">
        <v>0.33</v>
      </c>
      <c r="L13" s="86">
        <v>0.34</v>
      </c>
      <c r="M13" s="86">
        <v>0.34499999999999997</v>
      </c>
      <c r="N13" s="86">
        <v>0.35</v>
      </c>
      <c r="O13" s="86">
        <v>0.35499999999999998</v>
      </c>
      <c r="P13" s="86">
        <v>0.36</v>
      </c>
      <c r="Q13" s="86">
        <v>0.36</v>
      </c>
    </row>
    <row r="14" spans="1:28" ht="17.100000000000001" customHeight="1" x14ac:dyDescent="0.25">
      <c r="A14" s="5"/>
      <c r="B14" s="4" t="s">
        <v>16</v>
      </c>
      <c r="C14" s="84">
        <f>C11*C13</f>
        <v>403769.31880000007</v>
      </c>
      <c r="D14" s="84">
        <f t="shared" ref="D14:J14" si="2">D11*D13</f>
        <v>406101.42749999999</v>
      </c>
      <c r="E14" s="84">
        <f t="shared" si="2"/>
        <v>392189.37200000003</v>
      </c>
      <c r="F14" s="84">
        <f t="shared" si="2"/>
        <v>672737.0003999999</v>
      </c>
      <c r="G14" s="74">
        <f t="shared" si="2"/>
        <v>957580.27601400006</v>
      </c>
      <c r="H14" s="74">
        <f t="shared" si="2"/>
        <v>828405.77911</v>
      </c>
      <c r="I14" s="74">
        <f t="shared" si="2"/>
        <v>882417.57915000001</v>
      </c>
      <c r="J14" s="74">
        <f t="shared" si="2"/>
        <v>978183.82805000013</v>
      </c>
      <c r="K14" s="74">
        <f t="shared" ref="K14:Q14" si="3">K11*K13</f>
        <v>1092556.0910220002</v>
      </c>
      <c r="L14" s="74">
        <f t="shared" si="3"/>
        <v>1226973.5979780403</v>
      </c>
      <c r="M14" s="74">
        <f t="shared" si="3"/>
        <v>1344618.7135488759</v>
      </c>
      <c r="N14" s="74">
        <f t="shared" si="3"/>
        <v>1459593.3571711713</v>
      </c>
      <c r="O14" s="74">
        <f>O11*O13</f>
        <v>1569271.372295748</v>
      </c>
      <c r="P14" s="74">
        <f t="shared" si="3"/>
        <v>1655028.7374296563</v>
      </c>
      <c r="Q14" s="74">
        <f t="shared" si="3"/>
        <v>1688129.3121782497</v>
      </c>
    </row>
    <row r="15" spans="1:28" x14ac:dyDescent="0.25">
      <c r="A15" s="102">
        <v>0.25</v>
      </c>
      <c r="B15" s="4" t="s">
        <v>39</v>
      </c>
      <c r="C15" s="84">
        <v>309083.58039999998</v>
      </c>
      <c r="D15" s="84">
        <v>313952.98499999999</v>
      </c>
      <c r="E15" s="84">
        <v>293692.9572</v>
      </c>
      <c r="F15" s="84">
        <v>500144.59080000001</v>
      </c>
      <c r="G15" s="74">
        <v>695328.39137700002</v>
      </c>
      <c r="H15" s="74">
        <v>593453.874832</v>
      </c>
      <c r="I15" s="74">
        <v>633151.71415599994</v>
      </c>
      <c r="J15" s="74">
        <f>J14*(1-$A$15)</f>
        <v>733637.8710375001</v>
      </c>
      <c r="K15" s="74">
        <f>K14*(1-$A$15)</f>
        <v>819417.06826650014</v>
      </c>
      <c r="L15" s="74">
        <f t="shared" ref="L15:Q15" si="4">L14*(1-$A$15)</f>
        <v>920230.1984835302</v>
      </c>
      <c r="M15" s="74">
        <f t="shared" si="4"/>
        <v>1008464.0351616569</v>
      </c>
      <c r="N15" s="74">
        <f t="shared" si="4"/>
        <v>1094695.0178783785</v>
      </c>
      <c r="O15" s="74">
        <f>O14*(1-$A$15)</f>
        <v>1176953.5292218109</v>
      </c>
      <c r="P15" s="74">
        <f t="shared" si="4"/>
        <v>1241271.5530722423</v>
      </c>
      <c r="Q15" s="74">
        <f t="shared" si="4"/>
        <v>1266096.9841336873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0.76549545992893786</v>
      </c>
      <c r="D16" s="15">
        <f t="shared" si="5"/>
        <v>0.77309007981755984</v>
      </c>
      <c r="E16" s="15">
        <f t="shared" si="5"/>
        <v>0.74885496183206102</v>
      </c>
      <c r="F16" s="15">
        <f t="shared" si="5"/>
        <v>0.74344742522355856</v>
      </c>
      <c r="G16" s="15">
        <f t="shared" si="5"/>
        <v>0.72613065326633164</v>
      </c>
      <c r="H16" s="15">
        <f t="shared" si="5"/>
        <v>0.71638065522620908</v>
      </c>
      <c r="I16" s="15">
        <f t="shared" si="5"/>
        <v>0.71751937984496117</v>
      </c>
      <c r="J16" s="15">
        <f t="shared" si="5"/>
        <v>0.75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1672.2664535281385</v>
      </c>
      <c r="H17" s="74">
        <f t="shared" ref="H17:O17" si="6">H15/H18</f>
        <v>1428.686682911868</v>
      </c>
      <c r="I17" s="74">
        <f t="shared" si="6"/>
        <v>1525.7814323598625</v>
      </c>
      <c r="J17" s="74">
        <f t="shared" si="6"/>
        <v>1769.7046508543472</v>
      </c>
      <c r="K17" s="74">
        <f t="shared" si="6"/>
        <v>1978.6025664437607</v>
      </c>
      <c r="L17" s="74">
        <f t="shared" si="6"/>
        <v>2224.2548946645366</v>
      </c>
      <c r="M17" s="74">
        <f t="shared" si="6"/>
        <v>2439.961649155056</v>
      </c>
      <c r="N17" s="74">
        <f t="shared" si="6"/>
        <v>2651.247298337667</v>
      </c>
      <c r="O17" s="74">
        <f t="shared" si="6"/>
        <v>2853.3229182452856</v>
      </c>
      <c r="P17" s="74">
        <f>P15/P18</f>
        <v>3012.2632508312113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415.8</v>
      </c>
      <c r="H18" s="74">
        <f>G18*0.999</f>
        <v>415.38420000000002</v>
      </c>
      <c r="I18" s="74">
        <f t="shared" ref="I18:P18" si="7">H18*0.999</f>
        <v>414.96881580000002</v>
      </c>
      <c r="J18" s="74">
        <f t="shared" si="7"/>
        <v>414.55384698419999</v>
      </c>
      <c r="K18" s="74">
        <f t="shared" si="7"/>
        <v>414.13929313721582</v>
      </c>
      <c r="L18" s="74">
        <f t="shared" si="7"/>
        <v>413.72515384407859</v>
      </c>
      <c r="M18" s="74">
        <f t="shared" si="7"/>
        <v>413.31142869023449</v>
      </c>
      <c r="N18" s="74">
        <f t="shared" si="7"/>
        <v>412.89811726154426</v>
      </c>
      <c r="O18" s="74">
        <f t="shared" si="7"/>
        <v>412.48521914428272</v>
      </c>
      <c r="P18" s="74">
        <f t="shared" si="7"/>
        <v>412.07273392513844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633268.11600819672</v>
      </c>
      <c r="H19" s="53">
        <f>H15/(1+$C$55)^2</f>
        <v>492246.10637655476</v>
      </c>
      <c r="I19" s="53">
        <f>I15/(1+$C$55)^3</f>
        <v>478300.42486953246</v>
      </c>
      <c r="J19" s="53">
        <f>J15/(1+$C$55)^4</f>
        <v>504745.41367011063</v>
      </c>
      <c r="K19" s="53">
        <f>K15/(1+$C$55)^5</f>
        <v>513444.26274975517</v>
      </c>
      <c r="L19" s="53">
        <f>L15/(1+$C$55)^6</f>
        <v>525148.87612479797</v>
      </c>
      <c r="M19" s="53">
        <f>M15/(1+$C$55)^7</f>
        <v>524136.05283429677</v>
      </c>
      <c r="N19" s="53">
        <f>N15/(1+$C$55)^8</f>
        <v>518172.57143804064</v>
      </c>
      <c r="O19" s="53">
        <f>O15/(1+$C$55)^9</f>
        <v>507385.7367476832</v>
      </c>
      <c r="P19" s="53">
        <f>P15/(1+$C$55)^10</f>
        <v>487352.72797745612</v>
      </c>
      <c r="Q19" s="54">
        <f>(Q15/(C55-Q12))/(1+C55)^10</f>
        <v>6373074.1350898109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6.3000000000000014E-2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9.8000000000000018E-2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9.8000000000000018E-2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9.8000000000000018E-2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44898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7282737</v>
      </c>
      <c r="D49" s="47">
        <f>SUM(G19:Q19)</f>
        <v>11557274.423886236</v>
      </c>
      <c r="E49" s="46" t="s">
        <v>48</v>
      </c>
    </row>
    <row r="50" spans="1:17" x14ac:dyDescent="0.25">
      <c r="A50" s="45"/>
      <c r="B50" s="46" t="s">
        <v>11</v>
      </c>
      <c r="C50" s="56">
        <v>415.8</v>
      </c>
      <c r="D50" s="56">
        <f>C50</f>
        <v>415.8</v>
      </c>
      <c r="E50" s="46"/>
    </row>
    <row r="51" spans="1:17" x14ac:dyDescent="0.25">
      <c r="A51" s="45"/>
      <c r="B51" s="46" t="s">
        <v>13</v>
      </c>
      <c r="C51" s="89">
        <v>17515</v>
      </c>
      <c r="D51" s="56">
        <f>D49/(D50)</f>
        <v>27795.272784719182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0.36985687689925817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9.8000000000000018E-2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9651929606.2226734</v>
      </c>
      <c r="E57" s="46"/>
      <c r="F57" s="1" t="s">
        <v>23</v>
      </c>
      <c r="H57" s="1">
        <f>G15/(1+$B$57)</f>
        <v>627552.69979873637</v>
      </c>
      <c r="I57" s="1">
        <f>H15/(1+$B$57)^2</f>
        <v>483400.89375594613</v>
      </c>
      <c r="J57" s="1">
        <f>I15/(1+$B$57)^3</f>
        <v>465466.58134696749</v>
      </c>
      <c r="K57" s="1">
        <f>J15/(1+$B$57)^4</f>
        <v>486768.76243668131</v>
      </c>
      <c r="L57" s="1">
        <f>K15/(1+$B$57)^5</f>
        <v>490688.8663274516</v>
      </c>
      <c r="M57" s="1">
        <f>L15/(1+$B$57)^6</f>
        <v>497345.18614197994</v>
      </c>
      <c r="N57" s="1">
        <f>M15/(1+$B$57)^7</f>
        <v>491905.96824299666</v>
      </c>
      <c r="O57" s="1">
        <f>N15/(1+$B$57)^8</f>
        <v>481920.12009365938</v>
      </c>
      <c r="P57" s="1">
        <f>O15/(1+$B$57)^9</f>
        <v>467629.03865715308</v>
      </c>
      <c r="Q57" s="1">
        <f>(Q15/(B57-Q12))/(1+B57)^10</f>
        <v>5159251.4894211031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44</v>
      </c>
      <c r="B59" s="23"/>
      <c r="C59" s="69">
        <v>17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51208.475264130589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0.35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7544.6321290661062</v>
      </c>
    </row>
    <row r="67" spans="1:5" x14ac:dyDescent="0.25">
      <c r="A67" s="25"/>
      <c r="E67" s="61"/>
    </row>
    <row r="68" spans="1:5" x14ac:dyDescent="0.25">
      <c r="A68" s="62" t="s">
        <v>43</v>
      </c>
      <c r="E68" s="63">
        <f>(E66*0.25315)*-1</f>
        <v>-1909.9236234730847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45</v>
      </c>
      <c r="E70" s="60">
        <f>SUM(E62:E68)</f>
        <v>56843.183769723611</v>
      </c>
    </row>
    <row r="71" spans="1:5" x14ac:dyDescent="0.25">
      <c r="A71" s="25"/>
      <c r="E71" s="60"/>
    </row>
    <row r="72" spans="1:5" x14ac:dyDescent="0.25">
      <c r="A72" s="25" t="s">
        <v>46</v>
      </c>
      <c r="E72" s="64">
        <f>E70/C51-1</f>
        <v>2.2454001581343768</v>
      </c>
    </row>
    <row r="73" spans="1:5" x14ac:dyDescent="0.25">
      <c r="A73" s="25"/>
      <c r="E73" s="26"/>
    </row>
    <row r="74" spans="1:5" ht="16.5" thickBot="1" x14ac:dyDescent="0.3">
      <c r="A74" s="65" t="s">
        <v>47</v>
      </c>
      <c r="B74" s="66"/>
      <c r="C74" s="66"/>
      <c r="D74" s="66"/>
      <c r="E74" s="104">
        <f>(E70/C51)^(1/10)-1</f>
        <v>0.1249334358638956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2022-12-03T08:00:21Z</dcterms:modified>
</cp:coreProperties>
</file>