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7DC3EEB7-8628-49BB-84C7-7A776E2AF56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essimistisch" sheetId="34" r:id="rId1"/>
    <sheet name="Optimistisch" sheetId="3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8" i="32" l="1"/>
  <c r="E68" i="34"/>
  <c r="I18" i="32" l="1"/>
  <c r="J18" i="32" s="1"/>
  <c r="K18" i="32" s="1"/>
  <c r="L18" i="32" s="1"/>
  <c r="M18" i="32" s="1"/>
  <c r="N18" i="32" s="1"/>
  <c r="O18" i="32" s="1"/>
  <c r="P18" i="32" s="1"/>
  <c r="H18" i="32"/>
  <c r="D14" i="34" l="1"/>
  <c r="E14" i="34"/>
  <c r="F14" i="34"/>
  <c r="G14" i="34"/>
  <c r="H14" i="34"/>
  <c r="I14" i="34"/>
  <c r="C14" i="34"/>
  <c r="D50" i="34" l="1"/>
  <c r="D50" i="32"/>
  <c r="G18" i="34"/>
  <c r="H18" i="34" s="1"/>
  <c r="I18" i="34" s="1"/>
  <c r="J18" i="34" s="1"/>
  <c r="K18" i="34" s="1"/>
  <c r="L18" i="34" s="1"/>
  <c r="M18" i="34" s="1"/>
  <c r="N18" i="34" s="1"/>
  <c r="O18" i="34" s="1"/>
  <c r="P18" i="34" s="1"/>
  <c r="G18" i="32"/>
  <c r="G14" i="32" l="1"/>
  <c r="H14" i="32"/>
  <c r="I14" i="32"/>
  <c r="D14" i="32"/>
  <c r="E14" i="32"/>
  <c r="F14" i="32"/>
  <c r="C14" i="32"/>
  <c r="I25" i="32" l="1"/>
  <c r="I12" i="32" l="1"/>
  <c r="H12" i="34" l="1"/>
  <c r="I12" i="34"/>
  <c r="G12" i="34"/>
  <c r="E12" i="34"/>
  <c r="F12" i="34"/>
  <c r="D12" i="34"/>
  <c r="D12" i="32" l="1"/>
  <c r="E12" i="32"/>
  <c r="F12" i="32"/>
  <c r="G12" i="32"/>
  <c r="H12" i="32"/>
  <c r="C16" i="34" l="1"/>
  <c r="H16" i="34"/>
  <c r="G16" i="34"/>
  <c r="F16" i="34"/>
  <c r="E16" i="34"/>
  <c r="D16" i="34"/>
  <c r="C49" i="32"/>
  <c r="G17" i="34" l="1"/>
  <c r="H17" i="34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C16" i="32"/>
  <c r="G19" i="32" l="1"/>
  <c r="H19" i="34"/>
  <c r="G19" i="34"/>
  <c r="H57" i="34"/>
  <c r="I57" i="34"/>
  <c r="H16" i="32"/>
  <c r="H19" i="32"/>
  <c r="H57" i="32"/>
  <c r="G16" i="32"/>
  <c r="F16" i="32" l="1"/>
  <c r="E16" i="32"/>
  <c r="D16" i="32"/>
  <c r="J57" i="32" l="1"/>
  <c r="I16" i="32"/>
  <c r="I19" i="32"/>
  <c r="J57" i="34" l="1"/>
  <c r="I16" i="34"/>
  <c r="I19" i="34"/>
  <c r="I17" i="34"/>
  <c r="H17" i="32" l="1"/>
  <c r="G17" i="32"/>
  <c r="I17" i="32" l="1"/>
  <c r="J11" i="32" l="1"/>
  <c r="J14" i="32" s="1"/>
  <c r="K11" i="32"/>
  <c r="K14" i="32" s="1"/>
  <c r="K15" i="32" s="1"/>
  <c r="J15" i="32" l="1"/>
  <c r="L57" i="32"/>
  <c r="K19" i="32"/>
  <c r="K17" i="32"/>
  <c r="L11" i="32"/>
  <c r="K57" i="32" l="1"/>
  <c r="J19" i="32"/>
  <c r="J17" i="32"/>
  <c r="J16" i="32"/>
  <c r="M11" i="32"/>
  <c r="L14" i="32"/>
  <c r="L15" i="32" s="1"/>
  <c r="L17" i="32" l="1"/>
  <c r="M57" i="32"/>
  <c r="L19" i="32"/>
  <c r="N11" i="32"/>
  <c r="M14" i="32"/>
  <c r="M15" i="32" s="1"/>
  <c r="N57" i="32" l="1"/>
  <c r="M19" i="32"/>
  <c r="M17" i="32"/>
  <c r="N14" i="32"/>
  <c r="N15" i="32" s="1"/>
  <c r="O11" i="32"/>
  <c r="P11" i="32" l="1"/>
  <c r="O14" i="32"/>
  <c r="O15" i="32" s="1"/>
  <c r="N17" i="32"/>
  <c r="N19" i="32"/>
  <c r="O57" i="32"/>
  <c r="P57" i="32" l="1"/>
  <c r="O17" i="32"/>
  <c r="O19" i="32"/>
  <c r="P14" i="32"/>
  <c r="P15" i="32" s="1"/>
  <c r="Q11" i="32"/>
  <c r="Q14" i="32" s="1"/>
  <c r="Q15" i="32" s="1"/>
  <c r="P17" i="32" l="1"/>
  <c r="P19" i="32"/>
  <c r="D43" i="32"/>
  <c r="D41" i="32"/>
  <c r="D44" i="32"/>
  <c r="D40" i="32"/>
  <c r="Q57" i="32"/>
  <c r="D57" i="32" s="1"/>
  <c r="Q19" i="32"/>
  <c r="D42" i="32"/>
  <c r="D49" i="32" l="1"/>
  <c r="D51" i="32" s="1"/>
  <c r="D52" i="32" s="1"/>
  <c r="E62" i="32"/>
  <c r="E66" i="32"/>
  <c r="D53" i="32" l="1"/>
  <c r="E70" i="32"/>
  <c r="E72" i="32" l="1"/>
  <c r="E74" i="32"/>
  <c r="J11" i="34"/>
  <c r="K11" i="34" s="1"/>
  <c r="J14" i="34" l="1"/>
  <c r="K14" i="34"/>
  <c r="K15" i="34" s="1"/>
  <c r="L11" i="34"/>
  <c r="J15" i="34" l="1"/>
  <c r="L14" i="34"/>
  <c r="L15" i="34" s="1"/>
  <c r="M11" i="34"/>
  <c r="K19" i="34"/>
  <c r="L57" i="34"/>
  <c r="K17" i="34"/>
  <c r="J17" i="34" l="1"/>
  <c r="K57" i="34"/>
  <c r="J19" i="34"/>
  <c r="J16" i="34"/>
  <c r="M14" i="34"/>
  <c r="M15" i="34" s="1"/>
  <c r="N11" i="34"/>
  <c r="L17" i="34"/>
  <c r="M57" i="34"/>
  <c r="L19" i="34"/>
  <c r="O11" i="34" l="1"/>
  <c r="N14" i="34"/>
  <c r="N15" i="34" s="1"/>
  <c r="N57" i="34"/>
  <c r="M17" i="34"/>
  <c r="M19" i="34"/>
  <c r="O57" i="34" l="1"/>
  <c r="N17" i="34"/>
  <c r="N19" i="34"/>
  <c r="P11" i="34"/>
  <c r="O14" i="34"/>
  <c r="O15" i="34" s="1"/>
  <c r="P57" i="34" l="1"/>
  <c r="O17" i="34"/>
  <c r="O19" i="34"/>
  <c r="Q11" i="34"/>
  <c r="Q14" i="34" s="1"/>
  <c r="Q15" i="34" s="1"/>
  <c r="P14" i="34"/>
  <c r="P15" i="34" s="1"/>
  <c r="D40" i="34" s="1"/>
  <c r="Q57" i="34" l="1"/>
  <c r="D57" i="34" s="1"/>
  <c r="Q19" i="34"/>
  <c r="P19" i="34"/>
  <c r="P17" i="34"/>
  <c r="D43" i="34"/>
  <c r="D42" i="34"/>
  <c r="D41" i="34"/>
  <c r="D44" i="34"/>
  <c r="E62" i="34" l="1"/>
  <c r="E66" i="34"/>
  <c r="D49" i="34"/>
  <c r="D51" i="34" s="1"/>
  <c r="D52" i="34" l="1"/>
  <c r="D53" i="34"/>
  <c r="E70" i="34"/>
  <c r="E74" i="34" l="1"/>
  <c r="E72" i="34"/>
</calcChain>
</file>

<file path=xl/sharedStrings.xml><?xml version="1.0" encoding="utf-8"?>
<sst xmlns="http://schemas.openxmlformats.org/spreadsheetml/2006/main" count="99" uniqueCount="49">
  <si>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</si>
  <si>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</si>
  <si>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</si>
  <si>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</si>
  <si>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</si>
  <si>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</si>
  <si>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</si>
  <si>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</si>
  <si>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</si>
  <si>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</si>
  <si>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</si>
  <si>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</si>
  <si>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</si>
  <si>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</si>
  <si>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</si>
  <si>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</si>
  <si>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</si>
  <si>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</si>
  <si>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</si>
  <si>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</si>
  <si>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</si>
  <si>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</si>
  <si>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</si>
  <si>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</si>
  <si>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</si>
  <si>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</si>
  <si>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</si>
  <si>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</si>
  <si>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</si>
  <si>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</si>
  <si>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</si>
  <si>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</si>
  <si>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</si>
  <si>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</si>
  <si>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</si>
  <si>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</si>
  <si>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</si>
  <si>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</si>
  <si>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</si>
  <si>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</si>
  <si>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 xml:space="preserve"> </t>
  </si>
  <si>
    <t>2033ff.</t>
  </si>
  <si>
    <t xml:space="preserve"> Annahmen für Shin-Etsu</t>
  </si>
  <si>
    <t>Quellensteuer Japan (25,315 %)</t>
  </si>
  <si>
    <t>KGV Multiple in 2032</t>
  </si>
  <si>
    <t>Gesamtwert 2032</t>
  </si>
  <si>
    <t>Steigerung Gesamt bis 2032 in Prozent</t>
  </si>
  <si>
    <t>Renditeerwartung bis 2032 pro Jahr</t>
  </si>
  <si>
    <t>JPY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</si>
</sst>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7" fillId="2" borderId="0" xfId="0" applyFont="1" applyFill="1"/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9" fillId="2" borderId="0" xfId="0" applyFont="1" applyFill="1"/>
    <xf numFmtId="9" fontId="9" fillId="2" borderId="0" xfId="1" applyFont="1" applyFill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5" fillId="5" borderId="0" xfId="0" applyFont="1" applyFill="1"/>
    <xf numFmtId="165" fontId="3" fillId="7" borderId="0" xfId="1" applyNumberFormat="1" applyFont="1" applyFill="1"/>
    <xf numFmtId="0" fontId="0" fillId="2" borderId="1" xfId="0" applyFill="1" applyBorder="1" applyAlignment="1">
      <alignment wrapText="1"/>
    </xf>
    <xf numFmtId="0" fontId="8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5" fillId="6" borderId="0" xfId="0" applyFont="1" applyFill="1" applyAlignment="1">
      <alignment horizontal="right"/>
    </xf>
    <xf numFmtId="0" fontId="7" fillId="6" borderId="0" xfId="0" applyFont="1" applyFill="1"/>
    <xf numFmtId="0" fontId="10" fillId="6" borderId="0" xfId="0" applyFont="1" applyFill="1"/>
    <xf numFmtId="4" fontId="5" fillId="6" borderId="0" xfId="0" applyNumberFormat="1" applyFont="1" applyFill="1"/>
    <xf numFmtId="0" fontId="5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0" fontId="0" fillId="2" borderId="0" xfId="0" applyNumberForma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1" fillId="2" borderId="0" xfId="0" applyFont="1" applyFill="1"/>
    <xf numFmtId="4" fontId="5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165" fontId="3" fillId="2" borderId="0" xfId="1" applyNumberFormat="1" applyFont="1" applyFill="1" applyBorder="1"/>
    <xf numFmtId="3" fontId="5" fillId="2" borderId="0" xfId="0" applyNumberFormat="1" applyFont="1" applyFill="1"/>
    <xf numFmtId="165" fontId="5" fillId="2" borderId="0" xfId="1" applyNumberFormat="1" applyFont="1" applyFill="1" applyBorder="1"/>
    <xf numFmtId="9" fontId="0" fillId="2" borderId="0" xfId="1" applyFont="1" applyFill="1" applyBorder="1"/>
    <xf numFmtId="9" fontId="0" fillId="2" borderId="0" xfId="0" applyNumberFormat="1" applyFill="1"/>
    <xf numFmtId="9" fontId="5" fillId="2" borderId="0" xfId="0" applyNumberFormat="1" applyFont="1" applyFill="1"/>
    <xf numFmtId="10" fontId="5" fillId="2" borderId="10" xfId="0" applyNumberFormat="1" applyFont="1" applyFill="1" applyBorder="1"/>
    <xf numFmtId="0" fontId="5" fillId="8" borderId="0" xfId="0" applyFont="1" applyFill="1" applyAlignment="1">
      <alignment vertical="center" wrapText="1"/>
    </xf>
    <xf numFmtId="0" fontId="0" fillId="8" borderId="0" xfId="0" applyFill="1"/>
    <xf numFmtId="4" fontId="9" fillId="8" borderId="0" xfId="0" applyNumberFormat="1" applyFont="1" applyFill="1"/>
    <xf numFmtId="0" fontId="5" fillId="8" borderId="0" xfId="0" applyFont="1" applyFill="1"/>
    <xf numFmtId="1" fontId="3" fillId="8" borderId="0" xfId="1" applyNumberFormat="1" applyFont="1" applyFill="1"/>
    <xf numFmtId="10" fontId="5" fillId="8" borderId="0" xfId="1" applyNumberFormat="1" applyFont="1" applyFill="1"/>
    <xf numFmtId="0" fontId="0" fillId="2" borderId="1" xfId="0" applyFill="1" applyBorder="1"/>
    <xf numFmtId="0" fontId="9" fillId="2" borderId="2" xfId="0" applyFont="1" applyFill="1" applyBorder="1"/>
    <xf numFmtId="2" fontId="7" fillId="2" borderId="2" xfId="0" applyNumberFormat="1" applyFont="1" applyFill="1" applyBorder="1"/>
    <xf numFmtId="2" fontId="7" fillId="2" borderId="3" xfId="0" applyNumberFormat="1" applyFont="1" applyFill="1" applyBorder="1"/>
    <xf numFmtId="0" fontId="10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5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6" fillId="2" borderId="8" xfId="0" quotePrefix="1" applyNumberFormat="1" applyFont="1" applyFill="1" applyBorder="1"/>
    <xf numFmtId="10" fontId="0" fillId="2" borderId="7" xfId="0" applyNumberFormat="1" applyFill="1" applyBorder="1"/>
    <xf numFmtId="4" fontId="12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5" fillId="2" borderId="0" xfId="1" applyNumberFormat="1" applyFont="1" applyFill="1"/>
    <xf numFmtId="1" fontId="3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0" xfId="1" applyFont="1" applyFill="1"/>
    <xf numFmtId="165" fontId="0" fillId="7" borderId="0" xfId="1" applyNumberFormat="1" applyFont="1" applyFill="1"/>
    <xf numFmtId="4" fontId="0" fillId="7" borderId="0" xfId="0" applyNumberFormat="1" applyFill="1"/>
    <xf numFmtId="10" fontId="0" fillId="8" borderId="0" xfId="0" applyNumberFormat="1" applyFill="1"/>
    <xf numFmtId="4" fontId="3" fillId="8" borderId="0" xfId="1" applyNumberFormat="1" applyFont="1" applyFill="1"/>
    <xf numFmtId="0" fontId="0" fillId="2" borderId="0" xfId="0" quotePrefix="1" applyFill="1"/>
    <xf numFmtId="0" fontId="5" fillId="2" borderId="7" xfId="0" applyFont="1" applyFill="1" applyBorder="1"/>
    <xf numFmtId="10" fontId="5" fillId="2" borderId="0" xfId="0" applyNumberFormat="1" applyFont="1" applyFill="1"/>
    <xf numFmtId="10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9" fillId="5" borderId="0" xfId="0" applyNumberFormat="1" applyFont="1" applyFill="1"/>
    <xf numFmtId="164" fontId="10" fillId="6" borderId="0" xfId="0" applyNumberFormat="1" applyFont="1" applyFill="1"/>
    <xf numFmtId="10" fontId="0" fillId="7" borderId="0" xfId="1" applyNumberFormat="1" applyFont="1" applyFill="1"/>
    <xf numFmtId="165" fontId="9" fillId="7" borderId="0" xfId="1" applyNumberFormat="1" applyFont="1" applyFill="1"/>
    <xf numFmtId="9" fontId="9" fillId="5" borderId="0" xfId="1" applyFont="1" applyFill="1"/>
    <xf numFmtId="2" fontId="0" fillId="8" borderId="0" xfId="0" applyNumberFormat="1" applyFill="1"/>
    <xf numFmtId="10" fontId="9" fillId="5" borderId="0" xfId="1" applyNumberFormat="1" applyFont="1" applyFill="1"/>
    <xf numFmtId="165" fontId="9" fillId="5" borderId="0" xfId="1" applyNumberFormat="1" applyFont="1" applyFill="1"/>
    <xf numFmtId="0" fontId="9" fillId="2" borderId="4" xfId="0" applyFont="1" applyFill="1" applyBorder="1"/>
    <xf numFmtId="0" fontId="9" fillId="2" borderId="5" xfId="0" applyFont="1" applyFill="1" applyBorder="1"/>
    <xf numFmtId="10" fontId="9" fillId="2" borderId="5" xfId="0" applyNumberFormat="1" applyFont="1" applyFill="1" applyBorder="1" applyAlignment="1">
      <alignment horizontal="right"/>
    </xf>
    <xf numFmtId="0" fontId="9" fillId="2" borderId="7" xfId="0" applyFont="1" applyFill="1" applyBorder="1"/>
    <xf numFmtId="0" fontId="9" fillId="2" borderId="0" xfId="0" applyFont="1" applyFill="1" applyAlignment="1">
      <alignment horizontal="right"/>
    </xf>
    <xf numFmtId="10" fontId="9" fillId="2" borderId="0" xfId="1" applyNumberFormat="1" applyFont="1" applyFill="1" applyBorder="1" applyAlignment="1">
      <alignment horizontal="right"/>
    </xf>
    <xf numFmtId="10" fontId="9" fillId="2" borderId="0" xfId="0" applyNumberFormat="1" applyFont="1" applyFill="1" applyAlignment="1">
      <alignment horizontal="right"/>
    </xf>
    <xf numFmtId="0" fontId="10" fillId="2" borderId="7" xfId="0" applyFont="1" applyFill="1" applyBorder="1"/>
    <xf numFmtId="0" fontId="10" fillId="2" borderId="0" xfId="0" applyFont="1" applyFill="1"/>
    <xf numFmtId="10" fontId="10" fillId="2" borderId="0" xfId="0" applyNumberFormat="1" applyFont="1" applyFill="1"/>
    <xf numFmtId="9" fontId="9" fillId="6" borderId="0" xfId="1" applyFont="1" applyFill="1"/>
    <xf numFmtId="10" fontId="0" fillId="2" borderId="0" xfId="1" applyNumberFormat="1" applyFont="1" applyFill="1"/>
    <xf numFmtId="10" fontId="0" fillId="10" borderId="10" xfId="1" applyNumberFormat="1" applyFont="1" applyFill="1" applyBorder="1"/>
  </cellXfs>
  <cellStyles count="7">
    <cellStyle name="Prozent" xfId="1" builtinId="5"/>
    <cellStyle name="Prozent 2" xfId="2" xr:uid="{00000000-0005-0000-0000-000001000000}"/>
    <cellStyle name="Prozent 3" xfId="4" xr:uid="{00000000-0005-0000-0000-000002000000}"/>
    <cellStyle name="Prozent 4" xfId="6" xr:uid="{DE5E001C-AEE3-45AD-B913-D01465EAAE5D}"/>
    <cellStyle name="Standard" xfId="0" builtinId="0"/>
    <cellStyle name="Standard 2" xfId="3" xr:uid="{00000000-0005-0000-0000-000004000000}"/>
    <cellStyle name="Standard 3" xfId="5" xr:uid="{D21CDE20-7D2B-4947-8C50-96BDB9D63654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FFCC99"/>
      <color rgb="FFFFCC66"/>
      <color rgb="FFFFEB7D"/>
      <color rgb="FF009900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15507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tabSelected="1" zoomScaleNormal="100" workbookViewId="0">
      <selection activeCell="E49" sqref="E49:E51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42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25">
      <c r="A11" s="5"/>
      <c r="B11" s="4" t="s">
        <v>4</v>
      </c>
      <c r="C11" s="84">
        <v>1594036</v>
      </c>
      <c r="D11" s="84">
        <v>1543525</v>
      </c>
      <c r="E11" s="84">
        <v>1496906</v>
      </c>
      <c r="F11" s="84">
        <v>2074428</v>
      </c>
      <c r="G11" s="74">
        <v>2673311.77</v>
      </c>
      <c r="H11" s="74">
        <v>2584729.42</v>
      </c>
      <c r="I11" s="74">
        <v>2736178.54</v>
      </c>
      <c r="J11" s="74">
        <f t="shared" ref="J11:Q11" si="0">I11*(1+J12)</f>
        <v>2955072.8232000005</v>
      </c>
      <c r="K11" s="74">
        <f t="shared" si="0"/>
        <v>3161927.9208240006</v>
      </c>
      <c r="L11" s="74">
        <f t="shared" si="0"/>
        <v>3383262.8752816808</v>
      </c>
      <c r="M11" s="74">
        <f t="shared" si="0"/>
        <v>3586258.647798582</v>
      </c>
      <c r="N11" s="74">
        <f t="shared" si="0"/>
        <v>3765571.5801885114</v>
      </c>
      <c r="O11" s="74">
        <f t="shared" si="0"/>
        <v>3916194.4433960519</v>
      </c>
      <c r="P11" s="74">
        <f t="shared" si="0"/>
        <v>4033680.2766979337</v>
      </c>
      <c r="Q11" s="74">
        <f t="shared" si="0"/>
        <v>4094185.4808484023</v>
      </c>
    </row>
    <row r="12" spans="1:28" x14ac:dyDescent="0.25">
      <c r="A12" s="5"/>
      <c r="B12" s="4" t="s">
        <v>1</v>
      </c>
      <c r="C12" s="88"/>
      <c r="D12" s="91">
        <f t="shared" ref="D12:I12" si="1">D11/C11-1</f>
        <v>-3.1687490119420181E-2</v>
      </c>
      <c r="E12" s="91">
        <f t="shared" si="1"/>
        <v>-3.0202944558721079E-2</v>
      </c>
      <c r="F12" s="91">
        <f t="shared" si="1"/>
        <v>0.38581046505258176</v>
      </c>
      <c r="G12" s="87">
        <f t="shared" si="1"/>
        <v>0.28869826766703888</v>
      </c>
      <c r="H12" s="87">
        <f t="shared" si="1"/>
        <v>-3.3135809670265304E-2</v>
      </c>
      <c r="I12" s="87">
        <f t="shared" si="1"/>
        <v>5.8593800506979266E-2</v>
      </c>
      <c r="J12" s="87">
        <v>0.08</v>
      </c>
      <c r="K12" s="87">
        <v>7.0000000000000007E-2</v>
      </c>
      <c r="L12" s="73">
        <v>7.0000000000000007E-2</v>
      </c>
      <c r="M12" s="73">
        <v>0.06</v>
      </c>
      <c r="N12" s="73">
        <v>0.05</v>
      </c>
      <c r="O12" s="73">
        <v>0.04</v>
      </c>
      <c r="P12" s="73">
        <v>0.03</v>
      </c>
      <c r="Q12" s="12">
        <v>1.4999999999999999E-2</v>
      </c>
    </row>
    <row r="13" spans="1:28" ht="15.95" customHeight="1" x14ac:dyDescent="0.25">
      <c r="A13" s="5"/>
      <c r="B13" s="4" t="s">
        <v>15</v>
      </c>
      <c r="C13" s="90">
        <v>0.25330000000000003</v>
      </c>
      <c r="D13" s="90">
        <v>0.2631</v>
      </c>
      <c r="E13" s="90">
        <v>0.26200000000000001</v>
      </c>
      <c r="F13" s="90">
        <v>0.32429999999999998</v>
      </c>
      <c r="G13" s="86">
        <v>0.35820000000000002</v>
      </c>
      <c r="H13" s="86">
        <v>0.32050000000000001</v>
      </c>
      <c r="I13" s="86">
        <v>0.32250000000000001</v>
      </c>
      <c r="J13" s="86">
        <v>0.32</v>
      </c>
      <c r="K13" s="86">
        <v>0.32</v>
      </c>
      <c r="L13" s="86">
        <v>0.315</v>
      </c>
      <c r="M13" s="86">
        <v>0.315</v>
      </c>
      <c r="N13" s="86">
        <v>0.31</v>
      </c>
      <c r="O13" s="86">
        <v>0.30499999999999999</v>
      </c>
      <c r="P13" s="86">
        <v>0.3</v>
      </c>
      <c r="Q13" s="86">
        <v>0.3</v>
      </c>
    </row>
    <row r="14" spans="1:28" ht="17.100000000000001" customHeight="1" x14ac:dyDescent="0.25">
      <c r="A14" s="5"/>
      <c r="B14" s="4" t="s">
        <v>16</v>
      </c>
      <c r="C14" s="84">
        <f>C11*C13</f>
        <v>403769.31880000007</v>
      </c>
      <c r="D14" s="84">
        <f t="shared" ref="D14:I14" si="2">D11*D13</f>
        <v>406101.42749999999</v>
      </c>
      <c r="E14" s="84">
        <f t="shared" si="2"/>
        <v>392189.37200000003</v>
      </c>
      <c r="F14" s="84">
        <f t="shared" si="2"/>
        <v>672737.0003999999</v>
      </c>
      <c r="G14" s="74">
        <f t="shared" si="2"/>
        <v>957580.27601400006</v>
      </c>
      <c r="H14" s="74">
        <f t="shared" si="2"/>
        <v>828405.77911</v>
      </c>
      <c r="I14" s="74">
        <f t="shared" si="2"/>
        <v>882417.57915000001</v>
      </c>
      <c r="J14" s="74">
        <f>J11*J13</f>
        <v>945623.30342400016</v>
      </c>
      <c r="K14" s="74">
        <f t="shared" ref="K14:Q14" si="3">K11*K13</f>
        <v>1011816.9346636803</v>
      </c>
      <c r="L14" s="74">
        <f t="shared" si="3"/>
        <v>1065727.8057137295</v>
      </c>
      <c r="M14" s="74">
        <f t="shared" si="3"/>
        <v>1129671.4740565533</v>
      </c>
      <c r="N14" s="74">
        <f t="shared" si="3"/>
        <v>1167327.1898584384</v>
      </c>
      <c r="O14" s="74">
        <f t="shared" si="3"/>
        <v>1194439.3052357959</v>
      </c>
      <c r="P14" s="74">
        <f t="shared" si="3"/>
        <v>1210104.0830093801</v>
      </c>
      <c r="Q14" s="74">
        <f t="shared" si="3"/>
        <v>1228255.6442545205</v>
      </c>
    </row>
    <row r="15" spans="1:28" x14ac:dyDescent="0.25">
      <c r="A15" s="102">
        <v>0.25</v>
      </c>
      <c r="B15" s="4" t="s">
        <v>39</v>
      </c>
      <c r="C15" s="84">
        <v>309083.58039999998</v>
      </c>
      <c r="D15" s="84">
        <v>313952.98499999999</v>
      </c>
      <c r="E15" s="84">
        <v>293692.9572</v>
      </c>
      <c r="F15" s="84">
        <v>500144.59080000001</v>
      </c>
      <c r="G15" s="74">
        <v>695328.39137700002</v>
      </c>
      <c r="H15" s="74">
        <v>593453.874832</v>
      </c>
      <c r="I15" s="74">
        <v>633151.71415599994</v>
      </c>
      <c r="J15" s="74">
        <f t="shared" ref="J15:Q15" si="4">J14*(1-$A$15)</f>
        <v>709217.47756800009</v>
      </c>
      <c r="K15" s="74">
        <f t="shared" si="4"/>
        <v>758862.70099776017</v>
      </c>
      <c r="L15" s="74">
        <f t="shared" si="4"/>
        <v>799295.8542852971</v>
      </c>
      <c r="M15" s="74">
        <f t="shared" si="4"/>
        <v>847253.60554241505</v>
      </c>
      <c r="N15" s="74">
        <f t="shared" si="4"/>
        <v>875495.39239382884</v>
      </c>
      <c r="O15" s="74">
        <f t="shared" si="4"/>
        <v>895829.47892684699</v>
      </c>
      <c r="P15" s="74">
        <f t="shared" si="4"/>
        <v>907578.06225703517</v>
      </c>
      <c r="Q15" s="74">
        <f t="shared" si="4"/>
        <v>921191.7331908904</v>
      </c>
    </row>
    <row r="16" spans="1:28" ht="32.25" hidden="1" thickBot="1" x14ac:dyDescent="0.3">
      <c r="A16" s="13" t="s">
        <v>6</v>
      </c>
      <c r="B16" s="14"/>
      <c r="C16" s="15">
        <f t="shared" ref="C16:J16" si="5">C15/C14</f>
        <v>0.76549545992893786</v>
      </c>
      <c r="D16" s="15">
        <f t="shared" si="5"/>
        <v>0.77309007981755984</v>
      </c>
      <c r="E16" s="15">
        <f t="shared" si="5"/>
        <v>0.74885496183206102</v>
      </c>
      <c r="F16" s="15">
        <f t="shared" si="5"/>
        <v>0.74344742522355856</v>
      </c>
      <c r="G16" s="15">
        <f t="shared" si="5"/>
        <v>0.72613065326633164</v>
      </c>
      <c r="H16" s="15">
        <f t="shared" si="5"/>
        <v>0.71638065522620908</v>
      </c>
      <c r="I16" s="15">
        <f t="shared" si="5"/>
        <v>0.71751937984496117</v>
      </c>
      <c r="J16" s="15">
        <f t="shared" si="5"/>
        <v>0.75</v>
      </c>
    </row>
    <row r="17" spans="1:18" x14ac:dyDescent="0.25">
      <c r="A17" s="2" t="s">
        <v>36</v>
      </c>
      <c r="C17" s="84"/>
      <c r="D17" s="84"/>
      <c r="E17" s="84"/>
      <c r="F17" s="84"/>
      <c r="G17" s="74">
        <f>G15/G18</f>
        <v>1672.2664535281385</v>
      </c>
      <c r="H17" s="74">
        <f t="shared" ref="H17:P17" si="6">H15/H18</f>
        <v>1427.2579962289562</v>
      </c>
      <c r="I17" s="74">
        <f t="shared" si="6"/>
        <v>1522.7313952765751</v>
      </c>
      <c r="J17" s="74">
        <f t="shared" si="6"/>
        <v>1705.6697392207793</v>
      </c>
      <c r="K17" s="74">
        <f t="shared" si="6"/>
        <v>1825.066620966234</v>
      </c>
      <c r="L17" s="74">
        <f t="shared" si="6"/>
        <v>1922.3084518645912</v>
      </c>
      <c r="M17" s="74">
        <f t="shared" si="6"/>
        <v>2037.6469589764672</v>
      </c>
      <c r="N17" s="74">
        <f t="shared" si="6"/>
        <v>2105.5685242756826</v>
      </c>
      <c r="O17" s="74">
        <f t="shared" si="6"/>
        <v>2154.4720512911181</v>
      </c>
      <c r="P17" s="74">
        <f t="shared" si="6"/>
        <v>2182.7274224555922</v>
      </c>
      <c r="Q17" s="74"/>
    </row>
    <row r="18" spans="1:18" ht="32.25" thickBot="1" x14ac:dyDescent="0.3">
      <c r="A18" s="2" t="s">
        <v>38</v>
      </c>
      <c r="C18" s="84"/>
      <c r="D18" s="84"/>
      <c r="E18" s="84"/>
      <c r="F18" s="84"/>
      <c r="G18" s="74">
        <f>C50</f>
        <v>415.8</v>
      </c>
      <c r="H18" s="74">
        <f>G18*1</f>
        <v>415.8</v>
      </c>
      <c r="I18" s="74">
        <f t="shared" ref="I18:P18" si="7">H18*1</f>
        <v>415.8</v>
      </c>
      <c r="J18" s="74">
        <f t="shared" si="7"/>
        <v>415.8</v>
      </c>
      <c r="K18" s="74">
        <f t="shared" si="7"/>
        <v>415.8</v>
      </c>
      <c r="L18" s="74">
        <f t="shared" si="7"/>
        <v>415.8</v>
      </c>
      <c r="M18" s="74">
        <f t="shared" si="7"/>
        <v>415.8</v>
      </c>
      <c r="N18" s="74">
        <f t="shared" si="7"/>
        <v>415.8</v>
      </c>
      <c r="O18" s="74">
        <f t="shared" si="7"/>
        <v>415.8</v>
      </c>
      <c r="P18" s="74">
        <f t="shared" si="7"/>
        <v>415.8</v>
      </c>
      <c r="Q18" s="74"/>
    </row>
    <row r="19" spans="1:18" ht="16.5" thickBot="1" x14ac:dyDescent="0.3">
      <c r="A19" s="2"/>
      <c r="E19" s="51" t="s">
        <v>12</v>
      </c>
      <c r="F19" s="52"/>
      <c r="G19" s="53">
        <f>G15/(1+$C$55)</f>
        <v>633268.11600819672</v>
      </c>
      <c r="H19" s="53">
        <f>H15/(1+$C$55)^2</f>
        <v>492246.10637655476</v>
      </c>
      <c r="I19" s="53">
        <f>I15/(1+$C$55)^3</f>
        <v>478300.42486953246</v>
      </c>
      <c r="J19" s="53">
        <f>J15/(1+$C$55)^4</f>
        <v>487944.09780249017</v>
      </c>
      <c r="K19" s="53">
        <f>K15/(1+$C$55)^5</f>
        <v>475501.07891499496</v>
      </c>
      <c r="L19" s="53">
        <f>L15/(1+$C$55)^6</f>
        <v>456135.12821123365</v>
      </c>
      <c r="M19" s="53">
        <f>M15/(1+$C$55)^7</f>
        <v>440349.0308778758</v>
      </c>
      <c r="N19" s="53">
        <f>N15/(1+$C$55)^8</f>
        <v>414414.69208300393</v>
      </c>
      <c r="O19" s="53">
        <f>O15/(1+$C$55)^9</f>
        <v>386192.9030164195</v>
      </c>
      <c r="P19" s="53">
        <f>P15/(1+$C$55)^10</f>
        <v>356336.72857378132</v>
      </c>
      <c r="Q19" s="54">
        <f>(Q15/(C55-Q12))/(1+C55)^10</f>
        <v>4357611.8012335878</v>
      </c>
    </row>
    <row r="20" spans="1:18" x14ac:dyDescent="0.25">
      <c r="A20" s="2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6"/>
      <c r="P20" s="3"/>
      <c r="Q20" s="3"/>
      <c r="R20" s="3"/>
    </row>
    <row r="21" spans="1:18" x14ac:dyDescent="0.2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92" t="s">
        <v>25</v>
      </c>
      <c r="H23" s="93"/>
      <c r="I23" s="94">
        <v>3.5000000000000003E-2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95"/>
      <c r="H24" s="6"/>
      <c r="I24" s="96"/>
      <c r="J24" s="26"/>
    </row>
    <row r="25" spans="1:18" x14ac:dyDescent="0.25">
      <c r="A25" s="35"/>
      <c r="B25" s="36"/>
      <c r="C25" s="36"/>
      <c r="D25" s="38"/>
      <c r="F25" s="36"/>
      <c r="G25" s="95" t="s">
        <v>27</v>
      </c>
      <c r="H25" s="6"/>
      <c r="I25" s="97">
        <f>(I27-I23)*I29</f>
        <v>6.3000000000000014E-2</v>
      </c>
      <c r="J25" s="26"/>
    </row>
    <row r="26" spans="1:18" x14ac:dyDescent="0.25">
      <c r="A26" s="35"/>
      <c r="B26" s="36"/>
      <c r="C26" s="36"/>
      <c r="D26" s="38"/>
      <c r="F26" s="36"/>
      <c r="G26" s="95"/>
      <c r="H26" s="6"/>
      <c r="I26" s="96"/>
      <c r="J26" s="26"/>
    </row>
    <row r="27" spans="1:18" x14ac:dyDescent="0.25">
      <c r="A27" s="35"/>
      <c r="B27" s="36"/>
      <c r="C27" s="36"/>
      <c r="D27" s="38"/>
      <c r="F27" s="36"/>
      <c r="G27" s="95" t="s">
        <v>28</v>
      </c>
      <c r="H27" s="6"/>
      <c r="I27" s="98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95"/>
      <c r="H28" s="6"/>
      <c r="I28" s="96"/>
      <c r="J28" s="26"/>
    </row>
    <row r="29" spans="1:18" x14ac:dyDescent="0.25">
      <c r="A29" s="35"/>
      <c r="B29" s="36"/>
      <c r="C29" s="36"/>
      <c r="D29" s="39"/>
      <c r="F29" s="36"/>
      <c r="G29" s="95" t="s">
        <v>35</v>
      </c>
      <c r="H29" s="6"/>
      <c r="I29" s="96">
        <v>1.8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95"/>
      <c r="H30" s="6"/>
      <c r="I30" s="96"/>
      <c r="J30" s="26"/>
    </row>
    <row r="31" spans="1:18" x14ac:dyDescent="0.25">
      <c r="A31" s="35"/>
      <c r="B31" s="36"/>
      <c r="C31" s="36"/>
      <c r="D31" s="37"/>
      <c r="F31" s="36"/>
      <c r="G31" s="95" t="s">
        <v>31</v>
      </c>
      <c r="H31" s="6"/>
      <c r="I31" s="98">
        <f>I23+(I27-I23)*I29</f>
        <v>9.8000000000000018E-2</v>
      </c>
      <c r="J31" s="26" t="s">
        <v>32</v>
      </c>
    </row>
    <row r="32" spans="1:18" x14ac:dyDescent="0.25">
      <c r="A32" s="25"/>
      <c r="C32" s="41"/>
      <c r="E32" s="36"/>
      <c r="F32" s="36"/>
      <c r="G32" s="95"/>
      <c r="H32" s="6"/>
      <c r="I32" s="6"/>
      <c r="J32" s="26"/>
    </row>
    <row r="33" spans="1:10" x14ac:dyDescent="0.25">
      <c r="A33" s="25"/>
      <c r="G33" s="99" t="s">
        <v>34</v>
      </c>
      <c r="H33" s="100"/>
      <c r="I33" s="101">
        <f>I31</f>
        <v>9.8000000000000018E-2</v>
      </c>
      <c r="J33" s="26"/>
    </row>
    <row r="34" spans="1:10" x14ac:dyDescent="0.25">
      <c r="A34" s="35" t="s">
        <v>7</v>
      </c>
      <c r="B34" s="36"/>
      <c r="C34" s="42"/>
      <c r="D34" s="27"/>
      <c r="G34" s="95"/>
      <c r="H34" s="6"/>
      <c r="I34" s="6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9.8000000000000018E-2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5">
        <v>44898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7282737</v>
      </c>
      <c r="D49" s="47">
        <f>SUM(G19:Q19)</f>
        <v>8978300.107967671</v>
      </c>
      <c r="E49" s="46" t="s">
        <v>48</v>
      </c>
    </row>
    <row r="50" spans="1:17" x14ac:dyDescent="0.25">
      <c r="A50" s="45"/>
      <c r="B50" s="46" t="s">
        <v>11</v>
      </c>
      <c r="C50" s="56">
        <v>415.8</v>
      </c>
      <c r="D50" s="56">
        <f>C50</f>
        <v>415.8</v>
      </c>
      <c r="E50" s="46"/>
    </row>
    <row r="51" spans="1:17" x14ac:dyDescent="0.25">
      <c r="A51" s="45"/>
      <c r="B51" s="46" t="s">
        <v>13</v>
      </c>
      <c r="C51" s="89">
        <v>17515</v>
      </c>
      <c r="D51" s="56">
        <f>D49/(D50)</f>
        <v>21592.8333524956</v>
      </c>
      <c r="E51" s="46" t="s">
        <v>48</v>
      </c>
    </row>
    <row r="52" spans="1:17" x14ac:dyDescent="0.25">
      <c r="A52" s="45"/>
      <c r="B52" s="46" t="s">
        <v>2</v>
      </c>
      <c r="C52" s="46"/>
      <c r="D52" s="57">
        <f>IF(C51/D51-1&gt;0,0,C51/D51-1)*-1</f>
        <v>0.18885123994273323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9.8000000000000018E-2</v>
      </c>
      <c r="D55" s="49"/>
      <c r="E55" s="46"/>
      <c r="J55" s="72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5">
        <v>0.108</v>
      </c>
      <c r="C57" s="50"/>
      <c r="D57" s="76">
        <f>SUM(H57:Q57)*1000</f>
        <v>7639995094.1492119</v>
      </c>
      <c r="E57" s="46"/>
      <c r="F57" s="1" t="s">
        <v>23</v>
      </c>
      <c r="H57" s="1">
        <f>G15/(1+$B$57)</f>
        <v>627552.69979873637</v>
      </c>
      <c r="I57" s="1">
        <f>H15/(1+$B$57)^2</f>
        <v>483400.89375594613</v>
      </c>
      <c r="J57" s="1">
        <f>I15/(1+$B$57)^3</f>
        <v>465466.58134696749</v>
      </c>
      <c r="K57" s="1">
        <f>J15/(1+$B$57)^4</f>
        <v>470565.83020452328</v>
      </c>
      <c r="L57" s="1">
        <f>K15/(1+$B$57)^5</f>
        <v>454427.29090148007</v>
      </c>
      <c r="M57" s="1">
        <f>L15/(1+$B$57)^6</f>
        <v>431985.32941771165</v>
      </c>
      <c r="N57" s="1">
        <f>M15/(1+$B$57)^7</f>
        <v>413271.16352235957</v>
      </c>
      <c r="O57" s="1">
        <f>N15/(1+$B$57)^8</f>
        <v>385421.36188908364</v>
      </c>
      <c r="P57" s="1">
        <f>O15/(1+$B$57)^9</f>
        <v>355932.38613956369</v>
      </c>
      <c r="Q57" s="1">
        <f>(Q15/(B57-Q12))/(1+B57)^10</f>
        <v>3551971.5571728395</v>
      </c>
    </row>
    <row r="58" spans="1:17" ht="16.5" thickBot="1" x14ac:dyDescent="0.3">
      <c r="A58" s="22"/>
      <c r="C58" s="67"/>
      <c r="D58" s="68"/>
    </row>
    <row r="59" spans="1:17" x14ac:dyDescent="0.25">
      <c r="A59" s="59" t="s">
        <v>44</v>
      </c>
      <c r="B59" s="23"/>
      <c r="C59" s="69">
        <v>7</v>
      </c>
      <c r="D59" s="23"/>
      <c r="E59" s="24"/>
    </row>
    <row r="60" spans="1:17" x14ac:dyDescent="0.25">
      <c r="A60" s="25" t="s">
        <v>21</v>
      </c>
      <c r="C60" s="70"/>
      <c r="E60" s="26"/>
    </row>
    <row r="61" spans="1:17" x14ac:dyDescent="0.25">
      <c r="A61" s="25"/>
      <c r="C61" s="70"/>
      <c r="E61" s="26"/>
    </row>
    <row r="62" spans="1:17" x14ac:dyDescent="0.25">
      <c r="A62" s="25" t="s">
        <v>37</v>
      </c>
      <c r="C62" s="70"/>
      <c r="E62" s="60">
        <f>P17*C59</f>
        <v>15279.091957189146</v>
      </c>
    </row>
    <row r="63" spans="1:17" x14ac:dyDescent="0.25">
      <c r="A63" s="25"/>
      <c r="C63" s="70"/>
      <c r="E63" s="26"/>
    </row>
    <row r="64" spans="1:17" x14ac:dyDescent="0.25">
      <c r="A64" s="25" t="s">
        <v>17</v>
      </c>
      <c r="C64" s="71">
        <v>0.3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5566.7146842252405</v>
      </c>
    </row>
    <row r="67" spans="1:5" x14ac:dyDescent="0.25">
      <c r="A67" s="25"/>
      <c r="E67" s="61"/>
    </row>
    <row r="68" spans="1:5" x14ac:dyDescent="0.25">
      <c r="A68" s="62" t="s">
        <v>43</v>
      </c>
      <c r="E68" s="63">
        <f>(E66*0.25315)*-1</f>
        <v>-1409.2138223116197</v>
      </c>
    </row>
    <row r="69" spans="1:5" x14ac:dyDescent="0.25">
      <c r="A69" s="25"/>
      <c r="C69" s="41"/>
      <c r="D69" s="41"/>
      <c r="E69" s="64"/>
    </row>
    <row r="70" spans="1:5" x14ac:dyDescent="0.25">
      <c r="A70" s="25" t="s">
        <v>45</v>
      </c>
      <c r="E70" s="60">
        <f>SUM(E62:E68)</f>
        <v>19436.592819102767</v>
      </c>
    </row>
    <row r="71" spans="1:5" x14ac:dyDescent="0.25">
      <c r="A71" s="25"/>
      <c r="E71" s="60"/>
    </row>
    <row r="72" spans="1:5" x14ac:dyDescent="0.25">
      <c r="A72" s="25" t="s">
        <v>46</v>
      </c>
      <c r="E72" s="64">
        <f>E70/C51-1</f>
        <v>0.10971126572096868</v>
      </c>
    </row>
    <row r="73" spans="1:5" x14ac:dyDescent="0.25">
      <c r="A73" s="25"/>
      <c r="E73" s="26"/>
    </row>
    <row r="74" spans="1:5" ht="16.5" thickBot="1" x14ac:dyDescent="0.3">
      <c r="A74" s="65" t="s">
        <v>47</v>
      </c>
      <c r="B74" s="66"/>
      <c r="C74" s="66"/>
      <c r="D74" s="66"/>
      <c r="E74" s="104">
        <f>(E70/C51)^(1/10)-1</f>
        <v>1.0464358464511658E-2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K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zoomScaleNormal="100" workbookViewId="0">
      <selection activeCell="G54" sqref="G54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42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25">
      <c r="A11" s="5"/>
      <c r="B11" s="4" t="s">
        <v>4</v>
      </c>
      <c r="C11" s="84">
        <v>1594036</v>
      </c>
      <c r="D11" s="84">
        <v>1543525</v>
      </c>
      <c r="E11" s="84">
        <v>1496906</v>
      </c>
      <c r="F11" s="84">
        <v>2074428</v>
      </c>
      <c r="G11" s="74">
        <v>2673311.77</v>
      </c>
      <c r="H11" s="74">
        <v>2584729.42</v>
      </c>
      <c r="I11" s="74">
        <v>2736178.54</v>
      </c>
      <c r="J11" s="74">
        <f t="shared" ref="J11:Q11" si="0">I11*(1+J12)</f>
        <v>3009796.3940000003</v>
      </c>
      <c r="K11" s="74">
        <f t="shared" si="0"/>
        <v>3310776.0334000005</v>
      </c>
      <c r="L11" s="74">
        <f t="shared" si="0"/>
        <v>3608745.8764060009</v>
      </c>
      <c r="M11" s="74">
        <f t="shared" si="0"/>
        <v>3897445.5465184813</v>
      </c>
      <c r="N11" s="74">
        <f t="shared" si="0"/>
        <v>4170266.7347747753</v>
      </c>
      <c r="O11" s="74">
        <f t="shared" si="0"/>
        <v>4420482.7388612619</v>
      </c>
      <c r="P11" s="74">
        <f t="shared" si="0"/>
        <v>4597302.0484157121</v>
      </c>
      <c r="Q11" s="74">
        <f t="shared" si="0"/>
        <v>4689248.0893840268</v>
      </c>
    </row>
    <row r="12" spans="1:28" x14ac:dyDescent="0.25">
      <c r="A12" s="5"/>
      <c r="B12" s="4" t="s">
        <v>1</v>
      </c>
      <c r="C12" s="88"/>
      <c r="D12" s="91">
        <f t="shared" ref="D12:I12" si="1">D11/C11-1</f>
        <v>-3.1687490119420181E-2</v>
      </c>
      <c r="E12" s="91">
        <f t="shared" si="1"/>
        <v>-3.0202944558721079E-2</v>
      </c>
      <c r="F12" s="91">
        <f t="shared" si="1"/>
        <v>0.38581046505258176</v>
      </c>
      <c r="G12" s="87">
        <f t="shared" si="1"/>
        <v>0.28869826766703888</v>
      </c>
      <c r="H12" s="87">
        <f t="shared" si="1"/>
        <v>-3.3135809670265304E-2</v>
      </c>
      <c r="I12" s="87">
        <f t="shared" si="1"/>
        <v>5.8593800506979266E-2</v>
      </c>
      <c r="J12" s="87">
        <v>0.1</v>
      </c>
      <c r="K12" s="87">
        <v>0.1</v>
      </c>
      <c r="L12" s="73">
        <v>0.09</v>
      </c>
      <c r="M12" s="73">
        <v>0.08</v>
      </c>
      <c r="N12" s="73">
        <v>7.0000000000000007E-2</v>
      </c>
      <c r="O12" s="73">
        <v>0.06</v>
      </c>
      <c r="P12" s="73">
        <v>0.04</v>
      </c>
      <c r="Q12" s="12">
        <v>0.02</v>
      </c>
    </row>
    <row r="13" spans="1:28" ht="15.95" customHeight="1" x14ac:dyDescent="0.25">
      <c r="A13" s="5"/>
      <c r="B13" s="4" t="s">
        <v>15</v>
      </c>
      <c r="C13" s="90">
        <v>0.25330000000000003</v>
      </c>
      <c r="D13" s="90">
        <v>0.2631</v>
      </c>
      <c r="E13" s="90">
        <v>0.26200000000000001</v>
      </c>
      <c r="F13" s="90">
        <v>0.32429999999999998</v>
      </c>
      <c r="G13" s="86">
        <v>0.35820000000000002</v>
      </c>
      <c r="H13" s="86">
        <v>0.32050000000000001</v>
      </c>
      <c r="I13" s="86">
        <v>0.32250000000000001</v>
      </c>
      <c r="J13" s="86">
        <v>0.32500000000000001</v>
      </c>
      <c r="K13" s="86">
        <v>0.33</v>
      </c>
      <c r="L13" s="86">
        <v>0.34</v>
      </c>
      <c r="M13" s="86">
        <v>0.34499999999999997</v>
      </c>
      <c r="N13" s="86">
        <v>0.35</v>
      </c>
      <c r="O13" s="86">
        <v>0.35499999999999998</v>
      </c>
      <c r="P13" s="86">
        <v>0.36</v>
      </c>
      <c r="Q13" s="86">
        <v>0.36</v>
      </c>
    </row>
    <row r="14" spans="1:28" ht="17.100000000000001" customHeight="1" x14ac:dyDescent="0.25">
      <c r="A14" s="5"/>
      <c r="B14" s="4" t="s">
        <v>16</v>
      </c>
      <c r="C14" s="84">
        <f>C11*C13</f>
        <v>403769.31880000007</v>
      </c>
      <c r="D14" s="84">
        <f t="shared" ref="D14:J14" si="2">D11*D13</f>
        <v>406101.42749999999</v>
      </c>
      <c r="E14" s="84">
        <f t="shared" si="2"/>
        <v>392189.37200000003</v>
      </c>
      <c r="F14" s="84">
        <f t="shared" si="2"/>
        <v>672737.0003999999</v>
      </c>
      <c r="G14" s="74">
        <f t="shared" si="2"/>
        <v>957580.27601400006</v>
      </c>
      <c r="H14" s="74">
        <f t="shared" si="2"/>
        <v>828405.77911</v>
      </c>
      <c r="I14" s="74">
        <f t="shared" si="2"/>
        <v>882417.57915000001</v>
      </c>
      <c r="J14" s="74">
        <f t="shared" si="2"/>
        <v>978183.82805000013</v>
      </c>
      <c r="K14" s="74">
        <f t="shared" ref="K14:Q14" si="3">K11*K13</f>
        <v>1092556.0910220002</v>
      </c>
      <c r="L14" s="74">
        <f t="shared" si="3"/>
        <v>1226973.5979780403</v>
      </c>
      <c r="M14" s="74">
        <f t="shared" si="3"/>
        <v>1344618.7135488759</v>
      </c>
      <c r="N14" s="74">
        <f t="shared" si="3"/>
        <v>1459593.3571711713</v>
      </c>
      <c r="O14" s="74">
        <f>O11*O13</f>
        <v>1569271.372295748</v>
      </c>
      <c r="P14" s="74">
        <f t="shared" si="3"/>
        <v>1655028.7374296563</v>
      </c>
      <c r="Q14" s="74">
        <f t="shared" si="3"/>
        <v>1688129.3121782497</v>
      </c>
    </row>
    <row r="15" spans="1:28" x14ac:dyDescent="0.25">
      <c r="A15" s="102">
        <v>0.25</v>
      </c>
      <c r="B15" s="4" t="s">
        <v>39</v>
      </c>
      <c r="C15" s="84">
        <v>309083.58039999998</v>
      </c>
      <c r="D15" s="84">
        <v>313952.98499999999</v>
      </c>
      <c r="E15" s="84">
        <v>293692.9572</v>
      </c>
      <c r="F15" s="84">
        <v>500144.59080000001</v>
      </c>
      <c r="G15" s="74">
        <v>695328.39137700002</v>
      </c>
      <c r="H15" s="74">
        <v>593453.874832</v>
      </c>
      <c r="I15" s="74">
        <v>633151.71415599994</v>
      </c>
      <c r="J15" s="74">
        <f>J14*(1-$A$15)</f>
        <v>733637.8710375001</v>
      </c>
      <c r="K15" s="74">
        <f>K14*(1-$A$15)</f>
        <v>819417.06826650014</v>
      </c>
      <c r="L15" s="74">
        <f t="shared" ref="L15:Q15" si="4">L14*(1-$A$15)</f>
        <v>920230.1984835302</v>
      </c>
      <c r="M15" s="74">
        <f t="shared" si="4"/>
        <v>1008464.0351616569</v>
      </c>
      <c r="N15" s="74">
        <f t="shared" si="4"/>
        <v>1094695.0178783785</v>
      </c>
      <c r="O15" s="74">
        <f>O14*(1-$A$15)</f>
        <v>1176953.5292218109</v>
      </c>
      <c r="P15" s="74">
        <f t="shared" si="4"/>
        <v>1241271.5530722423</v>
      </c>
      <c r="Q15" s="74">
        <f t="shared" si="4"/>
        <v>1266096.9841336873</v>
      </c>
    </row>
    <row r="16" spans="1:28" ht="32.25" hidden="1" thickBot="1" x14ac:dyDescent="0.3">
      <c r="A16" s="13" t="s">
        <v>6</v>
      </c>
      <c r="B16" s="14"/>
      <c r="C16" s="15">
        <f t="shared" ref="C16:J16" si="5">C15/C14</f>
        <v>0.76549545992893786</v>
      </c>
      <c r="D16" s="15">
        <f t="shared" si="5"/>
        <v>0.77309007981755984</v>
      </c>
      <c r="E16" s="15">
        <f t="shared" si="5"/>
        <v>0.74885496183206102</v>
      </c>
      <c r="F16" s="15">
        <f t="shared" si="5"/>
        <v>0.74344742522355856</v>
      </c>
      <c r="G16" s="15">
        <f t="shared" si="5"/>
        <v>0.72613065326633164</v>
      </c>
      <c r="H16" s="15">
        <f t="shared" si="5"/>
        <v>0.71638065522620908</v>
      </c>
      <c r="I16" s="15">
        <f t="shared" si="5"/>
        <v>0.71751937984496117</v>
      </c>
      <c r="J16" s="15">
        <f t="shared" si="5"/>
        <v>0.75</v>
      </c>
    </row>
    <row r="17" spans="1:18" x14ac:dyDescent="0.25">
      <c r="A17" s="2" t="s">
        <v>36</v>
      </c>
      <c r="C17" s="84"/>
      <c r="D17" s="84"/>
      <c r="E17" s="84"/>
      <c r="F17" s="84"/>
      <c r="G17" s="74">
        <f>G15/G18</f>
        <v>1672.2664535281385</v>
      </c>
      <c r="H17" s="74">
        <f t="shared" ref="H17:O17" si="6">H15/H18</f>
        <v>1428.686682911868</v>
      </c>
      <c r="I17" s="74">
        <f t="shared" si="6"/>
        <v>1525.7814323598625</v>
      </c>
      <c r="J17" s="74">
        <f t="shared" si="6"/>
        <v>1769.7046508543472</v>
      </c>
      <c r="K17" s="74">
        <f t="shared" si="6"/>
        <v>1978.6025664437607</v>
      </c>
      <c r="L17" s="74">
        <f t="shared" si="6"/>
        <v>2224.2548946645366</v>
      </c>
      <c r="M17" s="74">
        <f t="shared" si="6"/>
        <v>2439.961649155056</v>
      </c>
      <c r="N17" s="74">
        <f t="shared" si="6"/>
        <v>2651.247298337667</v>
      </c>
      <c r="O17" s="74">
        <f t="shared" si="6"/>
        <v>2853.3229182452856</v>
      </c>
      <c r="P17" s="74">
        <f>P15/P18</f>
        <v>3012.2632508312113</v>
      </c>
      <c r="Q17" s="74"/>
    </row>
    <row r="18" spans="1:18" ht="32.25" thickBot="1" x14ac:dyDescent="0.3">
      <c r="A18" s="2" t="s">
        <v>38</v>
      </c>
      <c r="C18" s="84"/>
      <c r="D18" s="84"/>
      <c r="E18" s="84"/>
      <c r="F18" s="84"/>
      <c r="G18" s="74">
        <f>C50</f>
        <v>415.8</v>
      </c>
      <c r="H18" s="74">
        <f>G18*0.999</f>
        <v>415.38420000000002</v>
      </c>
      <c r="I18" s="74">
        <f t="shared" ref="I18:P18" si="7">H18*0.999</f>
        <v>414.96881580000002</v>
      </c>
      <c r="J18" s="74">
        <f t="shared" si="7"/>
        <v>414.55384698419999</v>
      </c>
      <c r="K18" s="74">
        <f t="shared" si="7"/>
        <v>414.13929313721582</v>
      </c>
      <c r="L18" s="74">
        <f t="shared" si="7"/>
        <v>413.72515384407859</v>
      </c>
      <c r="M18" s="74">
        <f t="shared" si="7"/>
        <v>413.31142869023449</v>
      </c>
      <c r="N18" s="74">
        <f t="shared" si="7"/>
        <v>412.89811726154426</v>
      </c>
      <c r="O18" s="74">
        <f t="shared" si="7"/>
        <v>412.48521914428272</v>
      </c>
      <c r="P18" s="74">
        <f t="shared" si="7"/>
        <v>412.07273392513844</v>
      </c>
      <c r="Q18" s="74"/>
    </row>
    <row r="19" spans="1:18" ht="16.5" thickBot="1" x14ac:dyDescent="0.3">
      <c r="A19" s="2"/>
      <c r="E19" s="51" t="s">
        <v>12</v>
      </c>
      <c r="F19" s="52"/>
      <c r="G19" s="53">
        <f>G15/(1+$C$55)</f>
        <v>633268.11600819672</v>
      </c>
      <c r="H19" s="53">
        <f>H15/(1+$C$55)^2</f>
        <v>492246.10637655476</v>
      </c>
      <c r="I19" s="53">
        <f>I15/(1+$C$55)^3</f>
        <v>478300.42486953246</v>
      </c>
      <c r="J19" s="53">
        <f>J15/(1+$C$55)^4</f>
        <v>504745.41367011063</v>
      </c>
      <c r="K19" s="53">
        <f>K15/(1+$C$55)^5</f>
        <v>513444.26274975517</v>
      </c>
      <c r="L19" s="53">
        <f>L15/(1+$C$55)^6</f>
        <v>525148.87612479797</v>
      </c>
      <c r="M19" s="53">
        <f>M15/(1+$C$55)^7</f>
        <v>524136.05283429677</v>
      </c>
      <c r="N19" s="53">
        <f>N15/(1+$C$55)^8</f>
        <v>518172.57143804064</v>
      </c>
      <c r="O19" s="53">
        <f>O15/(1+$C$55)^9</f>
        <v>507385.7367476832</v>
      </c>
      <c r="P19" s="53">
        <f>P15/(1+$C$55)^10</f>
        <v>487352.72797745612</v>
      </c>
      <c r="Q19" s="54">
        <f>(Q15/(C55-Q12))/(1+C55)^10</f>
        <v>6373074.1350898109</v>
      </c>
    </row>
    <row r="20" spans="1:18" x14ac:dyDescent="0.25">
      <c r="A20" s="2"/>
      <c r="C20" s="77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80">
        <v>3.5000000000000003E-2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25"/>
      <c r="I24" s="81"/>
      <c r="J24" s="26"/>
    </row>
    <row r="25" spans="1:18" x14ac:dyDescent="0.25">
      <c r="A25" s="35"/>
      <c r="B25" s="36"/>
      <c r="C25" s="36"/>
      <c r="D25" s="38"/>
      <c r="F25" s="36"/>
      <c r="G25" s="25" t="s">
        <v>27</v>
      </c>
      <c r="I25" s="82">
        <f>(I27-I23)*I29</f>
        <v>6.3000000000000014E-2</v>
      </c>
      <c r="J25" s="26"/>
    </row>
    <row r="26" spans="1:18" x14ac:dyDescent="0.25">
      <c r="A26" s="35"/>
      <c r="B26" s="36"/>
      <c r="C26" s="36"/>
      <c r="D26" s="38"/>
      <c r="F26" s="36"/>
      <c r="G26" s="25"/>
      <c r="I26" s="81"/>
      <c r="J26" s="26"/>
    </row>
    <row r="27" spans="1:18" x14ac:dyDescent="0.25">
      <c r="A27" s="35"/>
      <c r="B27" s="36"/>
      <c r="C27" s="36"/>
      <c r="D27" s="38"/>
      <c r="F27" s="36"/>
      <c r="G27" s="25" t="s">
        <v>28</v>
      </c>
      <c r="I27" s="83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25"/>
      <c r="I28" s="81"/>
      <c r="J28" s="26"/>
    </row>
    <row r="29" spans="1:18" x14ac:dyDescent="0.25">
      <c r="A29" s="35"/>
      <c r="B29" s="36"/>
      <c r="C29" s="36"/>
      <c r="D29" s="39"/>
      <c r="F29" s="36"/>
      <c r="G29" s="25" t="s">
        <v>35</v>
      </c>
      <c r="I29" s="81">
        <v>1.8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25"/>
      <c r="I30" s="81"/>
      <c r="J30" s="26"/>
    </row>
    <row r="31" spans="1:18" x14ac:dyDescent="0.25">
      <c r="A31" s="35"/>
      <c r="B31" s="36"/>
      <c r="C31" s="36"/>
      <c r="D31" s="37"/>
      <c r="F31" s="36"/>
      <c r="G31" s="25" t="s">
        <v>31</v>
      </c>
      <c r="I31" s="83">
        <f>I23+(I27-I23)*I29</f>
        <v>9.8000000000000018E-2</v>
      </c>
      <c r="J31" s="26" t="s">
        <v>32</v>
      </c>
    </row>
    <row r="32" spans="1:18" x14ac:dyDescent="0.25">
      <c r="A32" s="25"/>
      <c r="C32" s="41"/>
      <c r="E32" s="36"/>
      <c r="F32" s="36"/>
      <c r="G32" s="25"/>
      <c r="J32" s="26"/>
    </row>
    <row r="33" spans="1:10" x14ac:dyDescent="0.25">
      <c r="A33" s="25"/>
      <c r="G33" s="78" t="s">
        <v>34</v>
      </c>
      <c r="H33" s="22"/>
      <c r="I33" s="79">
        <f>I31</f>
        <v>9.8000000000000018E-2</v>
      </c>
      <c r="J33" s="26"/>
    </row>
    <row r="34" spans="1:10" x14ac:dyDescent="0.2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9.8000000000000018E-2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5">
        <v>44898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7282737</v>
      </c>
      <c r="D49" s="47">
        <f>SUM(G19:Q19)</f>
        <v>11557274.423886236</v>
      </c>
      <c r="E49" s="46" t="s">
        <v>48</v>
      </c>
    </row>
    <row r="50" spans="1:17" x14ac:dyDescent="0.25">
      <c r="A50" s="45"/>
      <c r="B50" s="46" t="s">
        <v>11</v>
      </c>
      <c r="C50" s="56">
        <v>415.8</v>
      </c>
      <c r="D50" s="56">
        <f>C50</f>
        <v>415.8</v>
      </c>
      <c r="E50" s="46"/>
    </row>
    <row r="51" spans="1:17" x14ac:dyDescent="0.25">
      <c r="A51" s="45"/>
      <c r="B51" s="46" t="s">
        <v>13</v>
      </c>
      <c r="C51" s="89">
        <v>17515</v>
      </c>
      <c r="D51" s="56">
        <f>D49/(D50)</f>
        <v>27795.272784719182</v>
      </c>
      <c r="E51" s="46" t="s">
        <v>48</v>
      </c>
    </row>
    <row r="52" spans="1:17" x14ac:dyDescent="0.25">
      <c r="A52" s="45"/>
      <c r="B52" s="46" t="s">
        <v>2</v>
      </c>
      <c r="C52" s="46"/>
      <c r="D52" s="57">
        <f>IF(C51/D51-1&gt;0,0,C51/D51-1)*-1</f>
        <v>0.36985687689925817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9.8000000000000018E-2</v>
      </c>
      <c r="D55" s="49"/>
      <c r="E55" s="46"/>
      <c r="J55" s="72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5">
        <v>0.108</v>
      </c>
      <c r="C57" s="50"/>
      <c r="D57" s="76">
        <f>SUM(H57:Q57)*1000</f>
        <v>9651929606.2226734</v>
      </c>
      <c r="E57" s="46"/>
      <c r="F57" s="1" t="s">
        <v>23</v>
      </c>
      <c r="H57" s="1">
        <f>G15/(1+$B$57)</f>
        <v>627552.69979873637</v>
      </c>
      <c r="I57" s="1">
        <f>H15/(1+$B$57)^2</f>
        <v>483400.89375594613</v>
      </c>
      <c r="J57" s="1">
        <f>I15/(1+$B$57)^3</f>
        <v>465466.58134696749</v>
      </c>
      <c r="K57" s="1">
        <f>J15/(1+$B$57)^4</f>
        <v>486768.76243668131</v>
      </c>
      <c r="L57" s="1">
        <f>K15/(1+$B$57)^5</f>
        <v>490688.8663274516</v>
      </c>
      <c r="M57" s="1">
        <f>L15/(1+$B$57)^6</f>
        <v>497345.18614197994</v>
      </c>
      <c r="N57" s="1">
        <f>M15/(1+$B$57)^7</f>
        <v>491905.96824299666</v>
      </c>
      <c r="O57" s="1">
        <f>N15/(1+$B$57)^8</f>
        <v>481920.12009365938</v>
      </c>
      <c r="P57" s="1">
        <f>O15/(1+$B$57)^9</f>
        <v>467629.03865715308</v>
      </c>
      <c r="Q57" s="1">
        <f>(Q15/(B57-Q12))/(1+B57)^10</f>
        <v>5159251.4894211031</v>
      </c>
    </row>
    <row r="58" spans="1:17" ht="16.5" thickBot="1" x14ac:dyDescent="0.3">
      <c r="A58" s="22"/>
      <c r="C58" s="67"/>
      <c r="D58" s="68"/>
    </row>
    <row r="59" spans="1:17" x14ac:dyDescent="0.25">
      <c r="A59" s="59" t="s">
        <v>44</v>
      </c>
      <c r="B59" s="23"/>
      <c r="C59" s="69">
        <v>17</v>
      </c>
      <c r="D59" s="23"/>
      <c r="E59" s="24"/>
    </row>
    <row r="60" spans="1:17" x14ac:dyDescent="0.25">
      <c r="A60" s="25" t="s">
        <v>21</v>
      </c>
      <c r="C60" s="70" t="s">
        <v>40</v>
      </c>
      <c r="E60" s="26"/>
    </row>
    <row r="61" spans="1:17" x14ac:dyDescent="0.25">
      <c r="A61" s="25"/>
      <c r="C61" s="70"/>
      <c r="E61" s="26"/>
    </row>
    <row r="62" spans="1:17" x14ac:dyDescent="0.25">
      <c r="A62" s="25" t="s">
        <v>37</v>
      </c>
      <c r="C62" s="70"/>
      <c r="E62" s="60">
        <f>P17*C59</f>
        <v>51208.475264130589</v>
      </c>
    </row>
    <row r="63" spans="1:17" x14ac:dyDescent="0.25">
      <c r="A63" s="25"/>
      <c r="C63" s="70"/>
      <c r="E63" s="26"/>
    </row>
    <row r="64" spans="1:17" x14ac:dyDescent="0.25">
      <c r="A64" s="25" t="s">
        <v>17</v>
      </c>
      <c r="C64" s="71">
        <v>0.35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7544.6321290661062</v>
      </c>
    </row>
    <row r="67" spans="1:5" x14ac:dyDescent="0.25">
      <c r="A67" s="25"/>
      <c r="E67" s="61"/>
    </row>
    <row r="68" spans="1:5" x14ac:dyDescent="0.25">
      <c r="A68" s="62" t="s">
        <v>43</v>
      </c>
      <c r="E68" s="63">
        <f>(E66*0.25315)*-1</f>
        <v>-1909.9236234730847</v>
      </c>
    </row>
    <row r="69" spans="1:5" x14ac:dyDescent="0.25">
      <c r="A69" s="25"/>
      <c r="C69" s="41"/>
      <c r="D69" s="41"/>
      <c r="E69" s="64"/>
    </row>
    <row r="70" spans="1:5" x14ac:dyDescent="0.25">
      <c r="A70" s="25" t="s">
        <v>45</v>
      </c>
      <c r="E70" s="60">
        <f>SUM(E62:E68)</f>
        <v>56843.183769723611</v>
      </c>
    </row>
    <row r="71" spans="1:5" x14ac:dyDescent="0.25">
      <c r="A71" s="25"/>
      <c r="E71" s="60"/>
    </row>
    <row r="72" spans="1:5" x14ac:dyDescent="0.25">
      <c r="A72" s="25" t="s">
        <v>46</v>
      </c>
      <c r="E72" s="64">
        <f>E70/C51-1</f>
        <v>2.2454001581343768</v>
      </c>
    </row>
    <row r="73" spans="1:5" x14ac:dyDescent="0.25">
      <c r="A73" s="25"/>
      <c r="E73" s="26"/>
    </row>
    <row r="74" spans="1:5" ht="16.5" thickBot="1" x14ac:dyDescent="0.3">
      <c r="A74" s="65" t="s">
        <v>47</v>
      </c>
      <c r="B74" s="66"/>
      <c r="C74" s="66"/>
      <c r="D74" s="66"/>
      <c r="E74" s="104">
        <f>(E70/C51)^(1/10)-1</f>
        <v>0.1249334358638956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2022-12-03T08:00:21Z</dcterms:modified>
</cp:coreProperties>
</file>