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545B9958-E132-45CB-B363-85FD18A8A9DC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35" l="1"/>
  <c r="I57" i="35"/>
  <c r="H57" i="35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G17" i="35" l="1"/>
  <c r="I19" i="35"/>
  <c r="H19" i="35"/>
  <c r="G19" i="35"/>
  <c r="H17" i="35"/>
  <c r="I17" i="35" l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l="1"/>
  <c r="I18" i="32" s="1"/>
  <c r="J18" i="32" s="1"/>
  <c r="K18" i="32" s="1"/>
  <c r="L18" i="32" s="1"/>
  <c r="M18" i="32" s="1"/>
  <c r="N18" i="32" s="1"/>
  <c r="O18" i="32" s="1"/>
  <c r="P18" i="32" s="1"/>
  <c r="G14" i="32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H16" i="35" s="1"/>
  <c r="G14" i="35"/>
  <c r="G16" i="35" s="1"/>
  <c r="I14" i="35" l="1"/>
  <c r="I16" i="35" s="1"/>
  <c r="J11" i="35"/>
  <c r="J14" i="35" l="1"/>
  <c r="K11" i="35"/>
  <c r="J15" i="35" l="1"/>
  <c r="J16" i="35" s="1"/>
  <c r="L11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D52" i="35" l="1"/>
  <c r="E70" i="35"/>
  <c r="E72" i="35" l="1"/>
  <c r="E74" i="35"/>
  <c r="J11" i="32"/>
  <c r="K11" i="32" s="1"/>
  <c r="J14" i="32" l="1"/>
  <c r="L11" i="32"/>
  <c r="K14" i="32"/>
  <c r="K15" i="32" s="1"/>
  <c r="J15" i="32" l="1"/>
  <c r="K19" i="32"/>
  <c r="L57" i="32"/>
  <c r="K17" i="32"/>
  <c r="M11" i="32"/>
  <c r="L14" i="32"/>
  <c r="L15" i="32" s="1"/>
  <c r="K57" i="32" l="1"/>
  <c r="J17" i="32"/>
  <c r="J19" i="32"/>
  <c r="J16" i="32"/>
  <c r="M57" i="32"/>
  <c r="L19" i="32"/>
  <c r="L17" i="32"/>
  <c r="M14" i="32"/>
  <c r="M15" i="32" s="1"/>
  <c r="N11" i="32"/>
  <c r="N57" i="32" l="1"/>
  <c r="M19" i="32"/>
  <c r="M17" i="32"/>
  <c r="O11" i="32"/>
  <c r="N14" i="32"/>
  <c r="N15" i="32" s="1"/>
  <c r="O14" i="32" l="1"/>
  <c r="O15" i="32" s="1"/>
  <c r="P11" i="32"/>
  <c r="N19" i="32"/>
  <c r="N17" i="32"/>
  <c r="O57" i="32"/>
  <c r="P14" i="32" l="1"/>
  <c r="P15" i="32" s="1"/>
  <c r="Q11" i="32"/>
  <c r="Q14" i="32" s="1"/>
  <c r="Q15" i="32" s="1"/>
  <c r="P57" i="32"/>
  <c r="O19" i="32"/>
  <c r="O17" i="32"/>
  <c r="D40" i="32" l="1"/>
  <c r="D41" i="32"/>
  <c r="D43" i="32"/>
  <c r="P19" i="32"/>
  <c r="P17" i="32"/>
  <c r="Q57" i="32"/>
  <c r="D57" i="32" s="1"/>
  <c r="Q19" i="32"/>
  <c r="D42" i="32"/>
  <c r="D44" i="32"/>
  <c r="D49" i="32" l="1"/>
  <c r="D51" i="32" s="1"/>
  <c r="D53" i="32" s="1"/>
  <c r="E62" i="32"/>
  <c r="E66" i="32"/>
  <c r="E68" i="32" s="1"/>
  <c r="D52" i="32" l="1"/>
  <c r="E70" i="32"/>
  <c r="E74" i="32" l="1"/>
  <c r="E72" i="32"/>
  <c r="J11" i="34"/>
  <c r="J14" i="34" s="1"/>
  <c r="J15" i="34" l="1"/>
  <c r="K11" i="34"/>
  <c r="K57" i="34" l="1"/>
  <c r="J19" i="34"/>
  <c r="J17" i="34"/>
  <c r="J16" i="34"/>
  <c r="L11" i="34"/>
  <c r="K14" i="34"/>
  <c r="K15" i="34" s="1"/>
  <c r="K19" i="34" l="1"/>
  <c r="L57" i="34"/>
  <c r="K17" i="34"/>
  <c r="M11" i="34"/>
  <c r="L14" i="34"/>
  <c r="L15" i="34" s="1"/>
  <c r="L17" i="34" l="1"/>
  <c r="L19" i="34"/>
  <c r="M57" i="34"/>
  <c r="M14" i="34"/>
  <c r="M15" i="34" s="1"/>
  <c r="N11" i="34"/>
  <c r="N57" i="34" l="1"/>
  <c r="M19" i="34"/>
  <c r="M17" i="34"/>
  <c r="O11" i="34"/>
  <c r="N14" i="34"/>
  <c r="N15" i="34" s="1"/>
  <c r="N19" i="34" l="1"/>
  <c r="N17" i="34"/>
  <c r="O57" i="34"/>
  <c r="O14" i="34"/>
  <c r="O15" i="34" s="1"/>
  <c r="P11" i="34"/>
  <c r="O17" i="34" l="1"/>
  <c r="P57" i="34"/>
  <c r="O19" i="34"/>
  <c r="P14" i="34"/>
  <c r="P15" i="34" s="1"/>
  <c r="Q11" i="34"/>
  <c r="Q14" i="34" s="1"/>
  <c r="Q15" i="34" s="1"/>
  <c r="Q57" i="34" l="1"/>
  <c r="D57" i="34" s="1"/>
  <c r="Q19" i="34"/>
  <c r="P19" i="34"/>
  <c r="P17" i="34"/>
  <c r="D43" i="34"/>
  <c r="D42" i="34"/>
  <c r="D41" i="34"/>
  <c r="D44" i="34"/>
  <c r="D40" i="34"/>
  <c r="D49" i="34" l="1"/>
  <c r="D51" i="34" s="1"/>
  <c r="E62" i="34"/>
  <c r="E66" i="34"/>
  <c r="E68" i="34" s="1"/>
  <c r="E70" i="34" l="1"/>
  <c r="D52" i="34"/>
  <c r="D53" i="34"/>
  <c r="E72" i="34" l="1"/>
  <c r="E74" i="34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<sst xmlns="http://schemas.openxmlformats.org/spreadsheetml/2006/main" count="149" uniqueCount="49">
  <si>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</si>
  <si>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</si>
  <si>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</si>
  <si>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</si>
  <si>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</si>
  <si>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</si>
  <si>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</si>
  <si>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</si>
  <si>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</si>
  <si>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</si>
  <si>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</si>
  <si>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</si>
  <si>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</si>
  <si>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</si>
  <si>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</si>
  <si>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</si>
  <si>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</si>
  <si>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</si>
  <si>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</si>
  <si>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</si>
  <si>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</si>
  <si>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</si>
  <si>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</si>
  <si>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</si>
  <si>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</si>
  <si>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</si>
  <si>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</si>
  <si>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</si>
  <si>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</si>
  <si>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</si>
  <si>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</si>
  <si>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</si>
  <si>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</si>
  <si>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</si>
  <si>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</si>
  <si>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</si>
  <si>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</si>
  <si>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</si>
  <si>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</si>
  <si>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</si>
  <si>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</si>
  <si>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Quellensteuer USA (25 %)</t>
  </si>
  <si>
    <t>KGV Multiple in 2031</t>
  </si>
  <si>
    <t>Gesamtwert 2031</t>
  </si>
  <si>
    <t>Steigerung Gesamt bis 2031 in Prozent</t>
  </si>
  <si>
    <t>Renditeerwartung bis 2031 pro Jahr</t>
  </si>
  <si>
    <t>2032ff.</t>
  </si>
  <si>
    <t>USD</t>
  </si>
  <si>
    <t xml:space="preserve"> Annahmen für Blackstone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</si>
</sst>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34" zoomScaleNormal="10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25">
      <c r="A11" s="5"/>
      <c r="B11" s="4" t="s">
        <v>4</v>
      </c>
      <c r="C11" s="84">
        <v>6296.75</v>
      </c>
      <c r="D11" s="84">
        <v>6012.92</v>
      </c>
      <c r="E11" s="84">
        <v>6474.53</v>
      </c>
      <c r="F11" s="84">
        <v>12591.01</v>
      </c>
      <c r="G11" s="74">
        <v>13983.82</v>
      </c>
      <c r="H11" s="74">
        <v>14421.26</v>
      </c>
      <c r="I11" s="74">
        <v>17618.43</v>
      </c>
      <c r="J11" s="74">
        <f t="shared" ref="J11:Q11" si="0">I11*(1+J12)</f>
        <v>18499.351500000001</v>
      </c>
      <c r="K11" s="74">
        <f t="shared" si="0"/>
        <v>19239.325560000001</v>
      </c>
      <c r="L11" s="74">
        <f t="shared" si="0"/>
        <v>20008.898582400001</v>
      </c>
      <c r="M11" s="74">
        <f t="shared" si="0"/>
        <v>20609.165539872003</v>
      </c>
      <c r="N11" s="74">
        <f t="shared" si="0"/>
        <v>21227.440506068164</v>
      </c>
      <c r="O11" s="74">
        <f t="shared" si="0"/>
        <v>21651.989316189527</v>
      </c>
      <c r="P11" s="74">
        <f t="shared" si="0"/>
        <v>21976.769155932368</v>
      </c>
      <c r="Q11" s="74">
        <f t="shared" si="0"/>
        <v>22196.536847491694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-4.5075634255766883E-2</v>
      </c>
      <c r="E12" s="91">
        <f t="shared" si="1"/>
        <v>7.6769689269107211E-2</v>
      </c>
      <c r="F12" s="91">
        <f t="shared" si="1"/>
        <v>0.94469868855345496</v>
      </c>
      <c r="G12" s="87">
        <f t="shared" si="1"/>
        <v>0.11061940225605404</v>
      </c>
      <c r="H12" s="87">
        <f t="shared" si="1"/>
        <v>3.1281867186505607E-2</v>
      </c>
      <c r="I12" s="87">
        <f t="shared" si="1"/>
        <v>0.22169838141743514</v>
      </c>
      <c r="J12" s="87">
        <v>0.05</v>
      </c>
      <c r="K12" s="87">
        <v>0.04</v>
      </c>
      <c r="L12" s="73">
        <v>0.04</v>
      </c>
      <c r="M12" s="73">
        <v>0.03</v>
      </c>
      <c r="N12" s="73">
        <v>0.03</v>
      </c>
      <c r="O12" s="73">
        <v>0.02</v>
      </c>
      <c r="P12" s="73">
        <v>1.4999999999999999E-2</v>
      </c>
      <c r="Q12" s="12">
        <v>0.01</v>
      </c>
    </row>
    <row r="13" spans="1:28" ht="15.95" customHeight="1" x14ac:dyDescent="0.25">
      <c r="A13" s="5"/>
      <c r="B13" s="4" t="s">
        <v>15</v>
      </c>
      <c r="C13" s="90">
        <v>0.55669999999999997</v>
      </c>
      <c r="D13" s="90">
        <v>0.61509999999999998</v>
      </c>
      <c r="E13" s="90">
        <v>0.42049999999999998</v>
      </c>
      <c r="F13" s="90">
        <v>1.0908</v>
      </c>
      <c r="G13" s="86">
        <v>0.54469999999999996</v>
      </c>
      <c r="H13" s="86">
        <v>0.60370000000000001</v>
      </c>
      <c r="I13" s="86">
        <v>0.57820000000000005</v>
      </c>
      <c r="J13" s="86">
        <v>0.56000000000000005</v>
      </c>
      <c r="K13" s="86">
        <v>0.55000000000000004</v>
      </c>
      <c r="L13" s="86">
        <v>0.54</v>
      </c>
      <c r="M13" s="86">
        <v>0.53</v>
      </c>
      <c r="N13" s="86">
        <v>0.52</v>
      </c>
      <c r="O13" s="86">
        <v>0.51</v>
      </c>
      <c r="P13" s="86">
        <v>0.5</v>
      </c>
      <c r="Q13" s="86">
        <v>0.5</v>
      </c>
    </row>
    <row r="14" spans="1:28" ht="17.100000000000001" customHeight="1" x14ac:dyDescent="0.25">
      <c r="A14" s="5"/>
      <c r="B14" s="4" t="s">
        <v>16</v>
      </c>
      <c r="C14" s="84">
        <f>C11*C13</f>
        <v>3505.400725</v>
      </c>
      <c r="D14" s="84">
        <f t="shared" ref="D14:I14" si="2">D11*D13</f>
        <v>3698.5470919999998</v>
      </c>
      <c r="E14" s="84">
        <f t="shared" si="2"/>
        <v>2722.5398649999997</v>
      </c>
      <c r="F14" s="84">
        <f t="shared" si="2"/>
        <v>13734.273708000001</v>
      </c>
      <c r="G14" s="74">
        <f t="shared" si="2"/>
        <v>7616.9867539999996</v>
      </c>
      <c r="H14" s="74">
        <f t="shared" si="2"/>
        <v>8706.114662</v>
      </c>
      <c r="I14" s="74">
        <f t="shared" si="2"/>
        <v>10186.976226000001</v>
      </c>
      <c r="J14" s="74">
        <f>J11*J13</f>
        <v>10359.636840000001</v>
      </c>
      <c r="K14" s="74">
        <f t="shared" ref="K14:Q14" si="3">K11*K13</f>
        <v>10581.629058000002</v>
      </c>
      <c r="L14" s="74">
        <f t="shared" si="3"/>
        <v>10804.805234496002</v>
      </c>
      <c r="M14" s="74">
        <f t="shared" si="3"/>
        <v>10922.857736132162</v>
      </c>
      <c r="N14" s="74">
        <f t="shared" si="3"/>
        <v>11038.269063155445</v>
      </c>
      <c r="O14" s="74">
        <f t="shared" si="3"/>
        <v>11042.51455125666</v>
      </c>
      <c r="P14" s="74">
        <f t="shared" si="3"/>
        <v>10988.384577966184</v>
      </c>
      <c r="Q14" s="74">
        <f t="shared" si="3"/>
        <v>11098.268423745847</v>
      </c>
    </row>
    <row r="15" spans="1:28" x14ac:dyDescent="0.25">
      <c r="A15" s="102">
        <v>0.55000000000000004</v>
      </c>
      <c r="B15" s="4" t="s">
        <v>39</v>
      </c>
      <c r="C15" s="84">
        <v>1542.074075</v>
      </c>
      <c r="D15" s="84">
        <v>2049.8044279999999</v>
      </c>
      <c r="E15" s="84">
        <v>1045.6365949999999</v>
      </c>
      <c r="F15" s="84">
        <v>5857.3378520000006</v>
      </c>
      <c r="G15" s="74">
        <v>3775.6314000000002</v>
      </c>
      <c r="H15" s="74">
        <v>3704.8216940000002</v>
      </c>
      <c r="I15" s="74">
        <v>4746.4050419999994</v>
      </c>
      <c r="J15" s="74">
        <f t="shared" ref="J15:Q15" si="4">J14*(1-$A$15)</f>
        <v>4661.8365780000004</v>
      </c>
      <c r="K15" s="74">
        <f t="shared" si="4"/>
        <v>4761.7330761000003</v>
      </c>
      <c r="L15" s="74">
        <f t="shared" si="4"/>
        <v>4862.1623555231999</v>
      </c>
      <c r="M15" s="74">
        <f t="shared" si="4"/>
        <v>4915.2859812594725</v>
      </c>
      <c r="N15" s="74">
        <f t="shared" si="4"/>
        <v>4967.2210784199497</v>
      </c>
      <c r="O15" s="74">
        <f t="shared" si="4"/>
        <v>4969.1315480654966</v>
      </c>
      <c r="P15" s="74">
        <f t="shared" si="4"/>
        <v>4944.7730600847826</v>
      </c>
      <c r="Q15" s="74">
        <f t="shared" si="4"/>
        <v>4994.2207906856311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0.43991377761810668</v>
      </c>
      <c r="D16" s="15">
        <f t="shared" si="5"/>
        <v>0.55421882620712082</v>
      </c>
      <c r="E16" s="15">
        <f t="shared" si="5"/>
        <v>0.38406658739595723</v>
      </c>
      <c r="F16" s="15">
        <f t="shared" si="5"/>
        <v>0.42647598093142652</v>
      </c>
      <c r="G16" s="15">
        <f t="shared" si="5"/>
        <v>0.49568569854966044</v>
      </c>
      <c r="H16" s="15">
        <f t="shared" si="5"/>
        <v>0.42554248799072392</v>
      </c>
      <c r="I16" s="15">
        <f t="shared" si="5"/>
        <v>0.46592874437910747</v>
      </c>
      <c r="J16" s="15">
        <f t="shared" si="5"/>
        <v>0.45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5.2432042771837244</v>
      </c>
      <c r="H17" s="74">
        <f t="shared" ref="H17:P17" si="6">H15/H18</f>
        <v>5.144871120677684</v>
      </c>
      <c r="I17" s="74">
        <f t="shared" si="6"/>
        <v>6.5913137647548945</v>
      </c>
      <c r="J17" s="74">
        <f t="shared" si="6"/>
        <v>6.4738738758505763</v>
      </c>
      <c r="K17" s="74">
        <f t="shared" si="6"/>
        <v>6.6125997446188034</v>
      </c>
      <c r="L17" s="74">
        <f t="shared" si="6"/>
        <v>6.7520654846871269</v>
      </c>
      <c r="M17" s="74">
        <f t="shared" si="6"/>
        <v>6.8258380520198196</v>
      </c>
      <c r="N17" s="74">
        <f t="shared" si="6"/>
        <v>6.8979601144562555</v>
      </c>
      <c r="O17" s="74">
        <f t="shared" si="6"/>
        <v>6.9006131760387399</v>
      </c>
      <c r="P17" s="74">
        <f t="shared" si="6"/>
        <v>6.8667866408620784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720.1</v>
      </c>
      <c r="H18" s="74">
        <f>G18*1</f>
        <v>720.1</v>
      </c>
      <c r="I18" s="74">
        <f t="shared" ref="I18:P18" si="7">H18*1</f>
        <v>720.1</v>
      </c>
      <c r="J18" s="74">
        <f t="shared" si="7"/>
        <v>720.1</v>
      </c>
      <c r="K18" s="74">
        <f t="shared" si="7"/>
        <v>720.1</v>
      </c>
      <c r="L18" s="74">
        <f t="shared" si="7"/>
        <v>720.1</v>
      </c>
      <c r="M18" s="74">
        <f t="shared" si="7"/>
        <v>720.1</v>
      </c>
      <c r="N18" s="74">
        <f t="shared" si="7"/>
        <v>720.1</v>
      </c>
      <c r="O18" s="74">
        <f t="shared" si="7"/>
        <v>720.1</v>
      </c>
      <c r="P18" s="74">
        <f t="shared" si="7"/>
        <v>720.1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3455.1648592999313</v>
      </c>
      <c r="H19" s="53">
        <f>H15/(1+$C$55)^2</f>
        <v>3102.5992325512657</v>
      </c>
      <c r="I19" s="53">
        <f>I15/(1+$C$55)^3</f>
        <v>3637.4945490613427</v>
      </c>
      <c r="J19" s="53">
        <f>J15/(1+$C$55)^4</f>
        <v>3269.4431075356506</v>
      </c>
      <c r="K19" s="53">
        <f>K15/(1+$C$55)^5</f>
        <v>3056.0536286407032</v>
      </c>
      <c r="L19" s="53">
        <f>L15/(1+$C$55)^6</f>
        <v>2855.6472916031175</v>
      </c>
      <c r="M19" s="53">
        <f>M15/(1+$C$55)^7</f>
        <v>2641.8191556913698</v>
      </c>
      <c r="N19" s="53">
        <f>N15/(1+$C$55)^8</f>
        <v>2443.1322046046157</v>
      </c>
      <c r="O19" s="53">
        <f>O15/(1+$C$55)^9</f>
        <v>2236.6249103977639</v>
      </c>
      <c r="P19" s="53">
        <f>P15/(1+$C$55)^10</f>
        <v>2036.7522880784936</v>
      </c>
      <c r="Q19" s="54">
        <f>(Q15/(C55-Q12))/(1+C55)^10</f>
        <v>24859.453908873456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44568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57046.322</v>
      </c>
      <c r="D49" s="47">
        <f>SUM(G19:Q19)</f>
        <v>53594.185136337706</v>
      </c>
      <c r="E49" s="46" t="s">
        <v>47</v>
      </c>
    </row>
    <row r="50" spans="1:17" x14ac:dyDescent="0.25">
      <c r="A50" s="45"/>
      <c r="B50" s="46" t="s">
        <v>11</v>
      </c>
      <c r="C50" s="56">
        <v>720.1</v>
      </c>
      <c r="D50" s="56">
        <f>C50</f>
        <v>720.1</v>
      </c>
      <c r="E50" s="46"/>
    </row>
    <row r="51" spans="1:17" x14ac:dyDescent="0.25">
      <c r="A51" s="45"/>
      <c r="B51" s="46" t="s">
        <v>13</v>
      </c>
      <c r="C51" s="89">
        <v>79.22</v>
      </c>
      <c r="D51" s="56">
        <f>D49/(D50)</f>
        <v>74.426031296122346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6.4412526375397627E-2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43320201.440401532</v>
      </c>
      <c r="E57" s="46"/>
      <c r="F57" s="1" t="s">
        <v>23</v>
      </c>
      <c r="H57" s="1">
        <f>G15/(1+$B$57)</f>
        <v>3407.6095667870036</v>
      </c>
      <c r="I57" s="1">
        <f>H15/(1+$B$57)^2</f>
        <v>3017.7814890719278</v>
      </c>
      <c r="J57" s="1">
        <f>I15/(1+$B$57)^3</f>
        <v>3489.3578887846297</v>
      </c>
      <c r="K57" s="1">
        <f>J15/(1+$B$57)^4</f>
        <v>3093.1287919283559</v>
      </c>
      <c r="L57" s="1">
        <f>K15/(1+$B$57)^5</f>
        <v>2851.4531797689197</v>
      </c>
      <c r="M57" s="1">
        <f>L15/(1+$B$57)^6</f>
        <v>2627.7914436465785</v>
      </c>
      <c r="N57" s="1">
        <f>M15/(1+$B$57)^7</f>
        <v>2397.5654316865011</v>
      </c>
      <c r="O57" s="1">
        <f>N15/(1+$B$57)^8</f>
        <v>2186.7312260937429</v>
      </c>
      <c r="P57" s="1">
        <f>O15/(1+$B$57)^9</f>
        <v>1974.3432098964959</v>
      </c>
      <c r="Q57" s="1">
        <f>(Q15/(B57-Q12))/(1+B57)^10</f>
        <v>18274.439212737372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8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54.934293126896627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0.8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51.447301000919765</v>
      </c>
    </row>
    <row r="67" spans="1:5" x14ac:dyDescent="0.25">
      <c r="A67" s="25"/>
      <c r="E67" s="61"/>
    </row>
    <row r="68" spans="1:5" x14ac:dyDescent="0.25">
      <c r="A68" s="62" t="s">
        <v>41</v>
      </c>
      <c r="E68" s="63">
        <f>(E66*0.25)*-1</f>
        <v>-12.861825250229941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93.519768877586444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0.1805070547536789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1.6732857286675618E-2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34" zoomScaleNormal="10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25">
      <c r="A11" s="5"/>
      <c r="B11" s="4" t="s">
        <v>4</v>
      </c>
      <c r="C11" s="84">
        <v>6296.75</v>
      </c>
      <c r="D11" s="84">
        <v>6012.92</v>
      </c>
      <c r="E11" s="84">
        <v>6474.53</v>
      </c>
      <c r="F11" s="84">
        <v>12591.01</v>
      </c>
      <c r="G11" s="74">
        <v>13983.82</v>
      </c>
      <c r="H11" s="74">
        <v>14421.26</v>
      </c>
      <c r="I11" s="74">
        <v>17618.43</v>
      </c>
      <c r="J11" s="74">
        <f t="shared" ref="J11:Q11" si="0">I11*(1+J12)</f>
        <v>19027.904400000003</v>
      </c>
      <c r="K11" s="74">
        <f t="shared" si="0"/>
        <v>19979.299620000005</v>
      </c>
      <c r="L11" s="74">
        <f t="shared" si="0"/>
        <v>20978.264601000006</v>
      </c>
      <c r="M11" s="74">
        <f t="shared" si="0"/>
        <v>22027.177831050009</v>
      </c>
      <c r="N11" s="74">
        <f t="shared" si="0"/>
        <v>22908.264944292008</v>
      </c>
      <c r="O11" s="74">
        <f t="shared" si="0"/>
        <v>23824.595542063689</v>
      </c>
      <c r="P11" s="74">
        <f t="shared" si="0"/>
        <v>24539.333408325601</v>
      </c>
      <c r="Q11" s="74">
        <f t="shared" si="0"/>
        <v>25030.120076492112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-4.5075634255766883E-2</v>
      </c>
      <c r="E12" s="91">
        <f t="shared" si="1"/>
        <v>7.6769689269107211E-2</v>
      </c>
      <c r="F12" s="91">
        <f t="shared" si="1"/>
        <v>0.94469868855345496</v>
      </c>
      <c r="G12" s="87">
        <f t="shared" si="1"/>
        <v>0.11061940225605404</v>
      </c>
      <c r="H12" s="87">
        <f t="shared" si="1"/>
        <v>3.1281867186505607E-2</v>
      </c>
      <c r="I12" s="87">
        <f t="shared" si="1"/>
        <v>0.22169838141743514</v>
      </c>
      <c r="J12" s="87">
        <v>0.08</v>
      </c>
      <c r="K12" s="87">
        <v>0.05</v>
      </c>
      <c r="L12" s="73">
        <v>0.05</v>
      </c>
      <c r="M12" s="73">
        <v>0.05</v>
      </c>
      <c r="N12" s="73">
        <v>0.04</v>
      </c>
      <c r="O12" s="73">
        <v>0.04</v>
      </c>
      <c r="P12" s="73">
        <v>0.03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0.55669999999999997</v>
      </c>
      <c r="D13" s="90">
        <v>0.61509999999999998</v>
      </c>
      <c r="E13" s="90">
        <v>0.42049999999999998</v>
      </c>
      <c r="F13" s="90">
        <v>1.0908</v>
      </c>
      <c r="G13" s="86">
        <v>0.54469999999999996</v>
      </c>
      <c r="H13" s="86">
        <v>0.60370000000000001</v>
      </c>
      <c r="I13" s="86">
        <v>0.57820000000000005</v>
      </c>
      <c r="J13" s="86">
        <v>0.6</v>
      </c>
      <c r="K13" s="86">
        <v>0.6</v>
      </c>
      <c r="L13" s="86">
        <v>0.6</v>
      </c>
      <c r="M13" s="86">
        <v>0.6</v>
      </c>
      <c r="N13" s="86">
        <v>0.6</v>
      </c>
      <c r="O13" s="86">
        <v>0.6</v>
      </c>
      <c r="P13" s="86">
        <v>0.6</v>
      </c>
      <c r="Q13" s="86">
        <v>0.6</v>
      </c>
    </row>
    <row r="14" spans="1:28" ht="17.100000000000001" customHeight="1" x14ac:dyDescent="0.25">
      <c r="A14" s="5"/>
      <c r="B14" s="4" t="s">
        <v>16</v>
      </c>
      <c r="C14" s="84">
        <f>C11*C13</f>
        <v>3505.400725</v>
      </c>
      <c r="D14" s="84">
        <f t="shared" ref="D14:J14" si="2">D11*D13</f>
        <v>3698.5470919999998</v>
      </c>
      <c r="E14" s="84">
        <f t="shared" si="2"/>
        <v>2722.5398649999997</v>
      </c>
      <c r="F14" s="84">
        <f t="shared" si="2"/>
        <v>13734.273708000001</v>
      </c>
      <c r="G14" s="74">
        <f t="shared" si="2"/>
        <v>7616.9867539999996</v>
      </c>
      <c r="H14" s="74">
        <f t="shared" si="2"/>
        <v>8706.114662</v>
      </c>
      <c r="I14" s="74">
        <f t="shared" si="2"/>
        <v>10186.976226000001</v>
      </c>
      <c r="J14" s="74">
        <f t="shared" si="2"/>
        <v>11416.742640000002</v>
      </c>
      <c r="K14" s="74">
        <f t="shared" ref="K14:Q14" si="3">K11*K13</f>
        <v>11987.579772000003</v>
      </c>
      <c r="L14" s="74">
        <f t="shared" si="3"/>
        <v>12586.958760600004</v>
      </c>
      <c r="M14" s="74">
        <f t="shared" si="3"/>
        <v>13216.306698630005</v>
      </c>
      <c r="N14" s="74">
        <f t="shared" si="3"/>
        <v>13744.958966575205</v>
      </c>
      <c r="O14" s="74">
        <f>O11*O13</f>
        <v>14294.757325238214</v>
      </c>
      <c r="P14" s="74">
        <f t="shared" si="3"/>
        <v>14723.600044995361</v>
      </c>
      <c r="Q14" s="74">
        <f t="shared" si="3"/>
        <v>15018.072045895267</v>
      </c>
    </row>
    <row r="15" spans="1:28" x14ac:dyDescent="0.25">
      <c r="A15" s="102">
        <v>0.55000000000000004</v>
      </c>
      <c r="B15" s="4" t="s">
        <v>39</v>
      </c>
      <c r="C15" s="84">
        <v>1542.074075</v>
      </c>
      <c r="D15" s="84">
        <v>2049.8044279999999</v>
      </c>
      <c r="E15" s="84">
        <v>1045.6365949999999</v>
      </c>
      <c r="F15" s="84">
        <v>5857.3378520000006</v>
      </c>
      <c r="G15" s="74">
        <v>3775.6314000000002</v>
      </c>
      <c r="H15" s="74">
        <v>3704.8216940000002</v>
      </c>
      <c r="I15" s="74">
        <v>4746.4050419999994</v>
      </c>
      <c r="J15" s="74">
        <f>J14*(1-$A$15)</f>
        <v>5137.5341880000005</v>
      </c>
      <c r="K15" s="74">
        <f>K14*(1-$A$15)</f>
        <v>5394.410897400001</v>
      </c>
      <c r="L15" s="74">
        <f t="shared" ref="L15:Q15" si="4">L14*(1-$A$15)</f>
        <v>5664.1314422700016</v>
      </c>
      <c r="M15" s="74">
        <f t="shared" si="4"/>
        <v>5947.338014383502</v>
      </c>
      <c r="N15" s="74">
        <f t="shared" si="4"/>
        <v>6185.2315349588416</v>
      </c>
      <c r="O15" s="74">
        <f>O14*(1-$A$15)</f>
        <v>6432.6407963571955</v>
      </c>
      <c r="P15" s="74">
        <f t="shared" si="4"/>
        <v>6625.6200202479113</v>
      </c>
      <c r="Q15" s="74">
        <f t="shared" si="4"/>
        <v>6758.1324206528698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0.43991377761810668</v>
      </c>
      <c r="D16" s="15">
        <f t="shared" si="5"/>
        <v>0.55421882620712082</v>
      </c>
      <c r="E16" s="15">
        <f t="shared" si="5"/>
        <v>0.38406658739595723</v>
      </c>
      <c r="F16" s="15">
        <f t="shared" si="5"/>
        <v>0.42647598093142652</v>
      </c>
      <c r="G16" s="15">
        <f t="shared" si="5"/>
        <v>0.49568569854966044</v>
      </c>
      <c r="H16" s="15">
        <f t="shared" si="5"/>
        <v>0.42554248799072392</v>
      </c>
      <c r="I16" s="15">
        <f t="shared" si="5"/>
        <v>0.46592874437910747</v>
      </c>
      <c r="J16" s="15">
        <f t="shared" si="5"/>
        <v>0.44999999999999996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5.2432042771837244</v>
      </c>
      <c r="H17" s="74">
        <f t="shared" ref="H17:O17" si="6">H15/H18</f>
        <v>5.144871120677684</v>
      </c>
      <c r="I17" s="74">
        <f t="shared" si="6"/>
        <v>6.5913137647548945</v>
      </c>
      <c r="J17" s="74">
        <f t="shared" si="6"/>
        <v>7.1344732509373703</v>
      </c>
      <c r="K17" s="74">
        <f t="shared" si="6"/>
        <v>7.4911969134842398</v>
      </c>
      <c r="L17" s="74">
        <f t="shared" si="6"/>
        <v>7.8657567591584518</v>
      </c>
      <c r="M17" s="74">
        <f t="shared" si="6"/>
        <v>8.2590445971163753</v>
      </c>
      <c r="N17" s="74">
        <f t="shared" si="6"/>
        <v>8.5894063810010302</v>
      </c>
      <c r="O17" s="74">
        <f t="shared" si="6"/>
        <v>8.9329826362410714</v>
      </c>
      <c r="P17" s="74">
        <f>P15/P18</f>
        <v>9.2009721153283035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720.1</v>
      </c>
      <c r="H18" s="74">
        <f>G18*1</f>
        <v>720.1</v>
      </c>
      <c r="I18" s="74">
        <f t="shared" ref="I18:P18" si="7">H18*1</f>
        <v>720.1</v>
      </c>
      <c r="J18" s="74">
        <f t="shared" si="7"/>
        <v>720.1</v>
      </c>
      <c r="K18" s="74">
        <f t="shared" si="7"/>
        <v>720.1</v>
      </c>
      <c r="L18" s="74">
        <f t="shared" si="7"/>
        <v>720.1</v>
      </c>
      <c r="M18" s="74">
        <f t="shared" si="7"/>
        <v>720.1</v>
      </c>
      <c r="N18" s="74">
        <f t="shared" si="7"/>
        <v>720.1</v>
      </c>
      <c r="O18" s="74">
        <f t="shared" si="7"/>
        <v>720.1</v>
      </c>
      <c r="P18" s="74">
        <f t="shared" si="7"/>
        <v>720.1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3455.1648592999313</v>
      </c>
      <c r="H19" s="53">
        <f>H15/(1+$C$55)^2</f>
        <v>3102.5992325512657</v>
      </c>
      <c r="I19" s="53">
        <f>I15/(1+$C$55)^3</f>
        <v>3637.4945490613427</v>
      </c>
      <c r="J19" s="53">
        <f>J15/(1+$C$55)^4</f>
        <v>3603.0597511617375</v>
      </c>
      <c r="K19" s="53">
        <f>K15/(1+$C$55)^5</f>
        <v>3462.1027121663915</v>
      </c>
      <c r="L19" s="53">
        <f>L15/(1+$C$55)^6</f>
        <v>3326.6601215051123</v>
      </c>
      <c r="M19" s="53">
        <f>M15/(1+$C$55)^7</f>
        <v>3196.5162457839101</v>
      </c>
      <c r="N19" s="53">
        <f>N15/(1+$C$55)^8</f>
        <v>3042.2117553102416</v>
      </c>
      <c r="O19" s="53">
        <f>O15/(1+$C$55)^9</f>
        <v>2895.3559602129044</v>
      </c>
      <c r="P19" s="53">
        <f>P15/(1+$C$55)^10</f>
        <v>2729.0932409236248</v>
      </c>
      <c r="Q19" s="54">
        <f>(Q15/(C55-Q12))/(1+C55)^10</f>
        <v>38263.575336661124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44568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57046.322</v>
      </c>
      <c r="D49" s="47">
        <f>SUM(G19:Q19)</f>
        <v>70713.833764637588</v>
      </c>
      <c r="E49" s="46" t="s">
        <v>47</v>
      </c>
    </row>
    <row r="50" spans="1:17" x14ac:dyDescent="0.25">
      <c r="A50" s="45"/>
      <c r="B50" s="46" t="s">
        <v>11</v>
      </c>
      <c r="C50" s="56">
        <v>720.1</v>
      </c>
      <c r="D50" s="56">
        <f>C50</f>
        <v>720.1</v>
      </c>
      <c r="E50" s="46"/>
    </row>
    <row r="51" spans="1:17" x14ac:dyDescent="0.25">
      <c r="A51" s="45"/>
      <c r="B51" s="46" t="s">
        <v>13</v>
      </c>
      <c r="C51" s="89">
        <v>79.22</v>
      </c>
      <c r="D51" s="56">
        <f>D49/(D50)</f>
        <v>98.200019114897358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0.1932791794336628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55333674.506224282</v>
      </c>
      <c r="E57" s="46"/>
      <c r="F57" s="1" t="s">
        <v>23</v>
      </c>
      <c r="H57" s="1">
        <f>G15/(1+$B$57)</f>
        <v>3407.6095667870036</v>
      </c>
      <c r="I57" s="1">
        <f>H15/(1+$B$57)^2</f>
        <v>3017.7814890719278</v>
      </c>
      <c r="J57" s="1">
        <f>I15/(1+$B$57)^3</f>
        <v>3489.3578887846297</v>
      </c>
      <c r="K57" s="1">
        <f>J15/(1+$B$57)^4</f>
        <v>3408.754178859821</v>
      </c>
      <c r="L57" s="1">
        <f>K15/(1+$B$57)^5</f>
        <v>3230.3175882696855</v>
      </c>
      <c r="M57" s="1">
        <f>L15/(1+$B$57)^6</f>
        <v>3061.221541230298</v>
      </c>
      <c r="N57" s="1">
        <f>M15/(1+$B$57)^7</f>
        <v>2900.9770923211308</v>
      </c>
      <c r="O57" s="1">
        <f>N15/(1+$B$57)^8</f>
        <v>2722.9387870162222</v>
      </c>
      <c r="P57" s="1">
        <f>O15/(1+$B$57)^9</f>
        <v>2555.8270203040352</v>
      </c>
      <c r="Q57" s="1">
        <f>(Q15/(B57-Q12))/(1+B57)^10</f>
        <v>27538.88935357954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18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165.61749807590945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0.9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67.00789963429483</v>
      </c>
    </row>
    <row r="67" spans="1:5" x14ac:dyDescent="0.25">
      <c r="A67" s="25"/>
      <c r="E67" s="61"/>
    </row>
    <row r="68" spans="1:5" x14ac:dyDescent="0.25">
      <c r="A68" s="62" t="s">
        <v>41</v>
      </c>
      <c r="E68" s="63">
        <f>(E66*0.25)*-1</f>
        <v>-16.751974908573708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215.87342280163057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1.7249864024442134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0.10544320363504411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zoomScaleNormal="10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25">
      <c r="A11" s="5"/>
      <c r="B11" s="4" t="s">
        <v>4</v>
      </c>
      <c r="C11" s="84">
        <v>6296.75</v>
      </c>
      <c r="D11" s="84">
        <v>6012.92</v>
      </c>
      <c r="E11" s="84">
        <v>6474.53</v>
      </c>
      <c r="F11" s="84">
        <v>12591.01</v>
      </c>
      <c r="G11" s="74">
        <v>13983.82</v>
      </c>
      <c r="H11" s="74">
        <v>14421.26</v>
      </c>
      <c r="I11" s="74">
        <v>17618.43</v>
      </c>
      <c r="J11" s="74">
        <f t="shared" ref="J11" si="0">I11*(1+J12)</f>
        <v>17882.706449999998</v>
      </c>
      <c r="K11" s="74">
        <f t="shared" ref="K11:Q11" si="1">J11*(1+K12)</f>
        <v>18150.947046749996</v>
      </c>
      <c r="L11" s="74">
        <f t="shared" si="1"/>
        <v>18423.211252451245</v>
      </c>
      <c r="M11" s="74">
        <f t="shared" si="1"/>
        <v>18699.559421238013</v>
      </c>
      <c r="N11" s="74">
        <f t="shared" si="1"/>
        <v>18980.05281255658</v>
      </c>
      <c r="O11" s="74">
        <f t="shared" si="1"/>
        <v>19264.753604744925</v>
      </c>
      <c r="P11" s="74">
        <f t="shared" si="1"/>
        <v>19553.724908816097</v>
      </c>
      <c r="Q11" s="74">
        <f t="shared" si="1"/>
        <v>19847.030782448335</v>
      </c>
    </row>
    <row r="12" spans="1:28" x14ac:dyDescent="0.25">
      <c r="A12" s="5"/>
      <c r="B12" s="4" t="s">
        <v>1</v>
      </c>
      <c r="C12" s="88"/>
      <c r="D12" s="91">
        <f t="shared" ref="D12:F12" si="2">D11/C11-1</f>
        <v>-4.5075634255766883E-2</v>
      </c>
      <c r="E12" s="91">
        <f t="shared" si="2"/>
        <v>7.6769689269107211E-2</v>
      </c>
      <c r="F12" s="91">
        <f t="shared" si="2"/>
        <v>0.94469868855345496</v>
      </c>
      <c r="G12" s="87">
        <v>1.4999999999999999E-2</v>
      </c>
      <c r="H12" s="87">
        <v>1.4999999999999999E-2</v>
      </c>
      <c r="I12" s="87">
        <v>1.4999999999999999E-2</v>
      </c>
      <c r="J12" s="87">
        <v>1.4999999999999999E-2</v>
      </c>
      <c r="K12" s="87">
        <v>1.4999999999999999E-2</v>
      </c>
      <c r="L12" s="87">
        <v>1.4999999999999999E-2</v>
      </c>
      <c r="M12" s="87">
        <v>1.4999999999999999E-2</v>
      </c>
      <c r="N12" s="87">
        <v>1.4999999999999999E-2</v>
      </c>
      <c r="O12" s="87">
        <v>1.4999999999999999E-2</v>
      </c>
      <c r="P12" s="87">
        <v>1.4999999999999999E-2</v>
      </c>
      <c r="Q12" s="87">
        <v>1.4999999999999999E-2</v>
      </c>
    </row>
    <row r="13" spans="1:28" ht="15.95" customHeight="1" x14ac:dyDescent="0.25">
      <c r="A13" s="5"/>
      <c r="B13" s="4" t="s">
        <v>15</v>
      </c>
      <c r="C13" s="90">
        <v>0.55669999999999997</v>
      </c>
      <c r="D13" s="90">
        <v>0.61509999999999998</v>
      </c>
      <c r="E13" s="90">
        <v>0.42049999999999998</v>
      </c>
      <c r="F13" s="90">
        <v>1.0908</v>
      </c>
      <c r="G13" s="86">
        <v>0.54469999999999996</v>
      </c>
      <c r="H13" s="86">
        <v>0.60370000000000001</v>
      </c>
      <c r="I13" s="86">
        <v>0.57820000000000005</v>
      </c>
      <c r="J13" s="86">
        <v>0.6</v>
      </c>
      <c r="K13" s="86">
        <v>0.6</v>
      </c>
      <c r="L13" s="86">
        <v>0.6</v>
      </c>
      <c r="M13" s="86">
        <v>0.6</v>
      </c>
      <c r="N13" s="86">
        <v>0.6</v>
      </c>
      <c r="O13" s="86">
        <v>0.6</v>
      </c>
      <c r="P13" s="86">
        <v>0.6</v>
      </c>
      <c r="Q13" s="86">
        <v>0.6</v>
      </c>
    </row>
    <row r="14" spans="1:28" ht="17.100000000000001" customHeight="1" x14ac:dyDescent="0.25">
      <c r="A14" s="5"/>
      <c r="B14" s="4" t="s">
        <v>16</v>
      </c>
      <c r="C14" s="84">
        <f>C11*C13</f>
        <v>3505.400725</v>
      </c>
      <c r="D14" s="84">
        <f t="shared" ref="D14:Q14" si="3">D11*D13</f>
        <v>3698.5470919999998</v>
      </c>
      <c r="E14" s="84">
        <f t="shared" si="3"/>
        <v>2722.5398649999997</v>
      </c>
      <c r="F14" s="84">
        <f t="shared" si="3"/>
        <v>13734.273708000001</v>
      </c>
      <c r="G14" s="74">
        <f t="shared" si="3"/>
        <v>7616.9867539999996</v>
      </c>
      <c r="H14" s="74">
        <f t="shared" si="3"/>
        <v>8706.114662</v>
      </c>
      <c r="I14" s="74">
        <f t="shared" si="3"/>
        <v>10186.976226000001</v>
      </c>
      <c r="J14" s="74">
        <f t="shared" si="3"/>
        <v>10729.623869999998</v>
      </c>
      <c r="K14" s="74">
        <f t="shared" si="3"/>
        <v>10890.568228049997</v>
      </c>
      <c r="L14" s="74">
        <f t="shared" si="3"/>
        <v>11053.926751470746</v>
      </c>
      <c r="M14" s="74">
        <f t="shared" si="3"/>
        <v>11219.735652742807</v>
      </c>
      <c r="N14" s="74">
        <f t="shared" si="3"/>
        <v>11388.031687533947</v>
      </c>
      <c r="O14" s="74">
        <f>O11*O13</f>
        <v>11558.852162846955</v>
      </c>
      <c r="P14" s="74">
        <f t="shared" si="3"/>
        <v>11732.234945289658</v>
      </c>
      <c r="Q14" s="74">
        <f t="shared" si="3"/>
        <v>11908.218469469</v>
      </c>
    </row>
    <row r="15" spans="1:28" x14ac:dyDescent="0.25">
      <c r="A15" s="102">
        <v>0.55000000000000004</v>
      </c>
      <c r="B15" s="4" t="s">
        <v>39</v>
      </c>
      <c r="C15" s="84">
        <v>1542.074075</v>
      </c>
      <c r="D15" s="84">
        <v>2049.8044279999999</v>
      </c>
      <c r="E15" s="84">
        <v>1045.6365949999999</v>
      </c>
      <c r="F15" s="84">
        <v>5857.3378520000006</v>
      </c>
      <c r="G15" s="74">
        <v>3775.6314000000002</v>
      </c>
      <c r="H15" s="74">
        <v>3704.8216940000002</v>
      </c>
      <c r="I15" s="74">
        <v>4746.4050419999994</v>
      </c>
      <c r="J15" s="74">
        <f>J14*(1-$A$15)</f>
        <v>4828.3307414999981</v>
      </c>
      <c r="K15" s="74">
        <f>K14*(1-$A$15)</f>
        <v>4900.7557026224977</v>
      </c>
      <c r="L15" s="74">
        <f t="shared" ref="L15:Q15" si="4">L14*(1-$A$15)</f>
        <v>4974.2670381618354</v>
      </c>
      <c r="M15" s="74">
        <f t="shared" si="4"/>
        <v>5048.8810437342627</v>
      </c>
      <c r="N15" s="74">
        <f t="shared" si="4"/>
        <v>5124.6142593902759</v>
      </c>
      <c r="O15" s="74">
        <f>O14*(1-$A$15)</f>
        <v>5201.4834732811296</v>
      </c>
      <c r="P15" s="74">
        <f t="shared" si="4"/>
        <v>5279.5057253803452</v>
      </c>
      <c r="Q15" s="74">
        <f t="shared" si="4"/>
        <v>5358.6983112610496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0.43991377761810668</v>
      </c>
      <c r="D16" s="15">
        <f t="shared" si="5"/>
        <v>0.55421882620712082</v>
      </c>
      <c r="E16" s="15">
        <f t="shared" si="5"/>
        <v>0.38406658739595723</v>
      </c>
      <c r="F16" s="15">
        <f t="shared" si="5"/>
        <v>0.42647598093142652</v>
      </c>
      <c r="G16" s="15">
        <f t="shared" si="5"/>
        <v>0.49568569854966044</v>
      </c>
      <c r="H16" s="15">
        <f t="shared" si="5"/>
        <v>0.42554248799072392</v>
      </c>
      <c r="I16" s="15">
        <f t="shared" si="5"/>
        <v>0.46592874437910747</v>
      </c>
      <c r="J16" s="15">
        <f t="shared" si="5"/>
        <v>0.4499999999999999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5.2432042771837244</v>
      </c>
      <c r="H17" s="74">
        <f t="shared" ref="H17:O17" si="6">H15/H18</f>
        <v>5.144871120677684</v>
      </c>
      <c r="I17" s="74">
        <f t="shared" si="6"/>
        <v>6.5913137647548945</v>
      </c>
      <c r="J17" s="74">
        <f t="shared" si="6"/>
        <v>6.7050836571309516</v>
      </c>
      <c r="K17" s="74">
        <f t="shared" si="6"/>
        <v>6.8056599119879149</v>
      </c>
      <c r="L17" s="74">
        <f t="shared" si="6"/>
        <v>6.9077448106677339</v>
      </c>
      <c r="M17" s="74">
        <f t="shared" si="6"/>
        <v>7.0113609828277497</v>
      </c>
      <c r="N17" s="74">
        <f t="shared" si="6"/>
        <v>7.1165313975701654</v>
      </c>
      <c r="O17" s="74">
        <f t="shared" si="6"/>
        <v>7.2232793685337171</v>
      </c>
      <c r="P17" s="74">
        <f>P15/P18</f>
        <v>7.3316285590617207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720.1</v>
      </c>
      <c r="H18" s="74">
        <f>G18*1</f>
        <v>720.1</v>
      </c>
      <c r="I18" s="74">
        <f t="shared" ref="I18:P18" si="7">H18*1</f>
        <v>720.1</v>
      </c>
      <c r="J18" s="74">
        <f t="shared" si="7"/>
        <v>720.1</v>
      </c>
      <c r="K18" s="74">
        <f t="shared" si="7"/>
        <v>720.1</v>
      </c>
      <c r="L18" s="74">
        <f t="shared" si="7"/>
        <v>720.1</v>
      </c>
      <c r="M18" s="74">
        <f t="shared" si="7"/>
        <v>720.1</v>
      </c>
      <c r="N18" s="74">
        <f t="shared" si="7"/>
        <v>720.1</v>
      </c>
      <c r="O18" s="74">
        <f t="shared" si="7"/>
        <v>720.1</v>
      </c>
      <c r="P18" s="74">
        <f t="shared" si="7"/>
        <v>720.1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3455.1648592999313</v>
      </c>
      <c r="H19" s="53">
        <f>H15/(1+$C$55)^2</f>
        <v>3102.5992325512657</v>
      </c>
      <c r="I19" s="53">
        <f>I15/(1+$C$55)^3</f>
        <v>3637.4945490613427</v>
      </c>
      <c r="J19" s="53">
        <f>J15/(1+$C$55)^4</f>
        <v>3386.2089328047796</v>
      </c>
      <c r="K19" s="53">
        <f>K15/(1+$C$55)^5</f>
        <v>3145.2775719943725</v>
      </c>
      <c r="L19" s="53">
        <f>L15/(1+$C$55)^6</f>
        <v>2921.4886621590376</v>
      </c>
      <c r="M19" s="53">
        <f>M15/(1+$C$55)^7</f>
        <v>2713.6225047736652</v>
      </c>
      <c r="N19" s="53">
        <f>N15/(1+$C$55)^8</f>
        <v>2520.5461837980051</v>
      </c>
      <c r="O19" s="53">
        <f>O15/(1+$C$55)^9</f>
        <v>2341.2073910363529</v>
      </c>
      <c r="P19" s="53">
        <f>P15/(1+$C$55)^10</f>
        <v>2174.6286908276343</v>
      </c>
      <c r="Q19" s="54">
        <f>(Q15/(C55-Q12))/(1+C55)^10</f>
        <v>28389.043359357533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44568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57046.322</v>
      </c>
      <c r="D49" s="47">
        <f>SUM(G19:Q19)</f>
        <v>57787.281937663924</v>
      </c>
      <c r="E49" s="46" t="s">
        <v>47</v>
      </c>
    </row>
    <row r="50" spans="1:17" x14ac:dyDescent="0.25">
      <c r="A50" s="45"/>
      <c r="B50" s="46" t="s">
        <v>11</v>
      </c>
      <c r="C50" s="56">
        <v>720.1</v>
      </c>
      <c r="D50" s="56">
        <f>C50</f>
        <v>720.1</v>
      </c>
      <c r="E50" s="46"/>
    </row>
    <row r="51" spans="1:17" x14ac:dyDescent="0.25">
      <c r="A51" s="45"/>
      <c r="B51" s="46" t="s">
        <v>13</v>
      </c>
      <c r="C51" s="89">
        <v>79.22</v>
      </c>
      <c r="D51" s="56">
        <f>D49/(D50)</f>
        <v>80.248968112295401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1.28221974250875E-2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46189146.416005284</v>
      </c>
      <c r="E57" s="46"/>
      <c r="F57" s="1" t="s">
        <v>23</v>
      </c>
      <c r="H57" s="1">
        <f>G15/(1+$B$57)</f>
        <v>3407.6095667870036</v>
      </c>
      <c r="I57" s="1">
        <f>H15/(1+$B$57)^2</f>
        <v>3017.7814890719278</v>
      </c>
      <c r="J57" s="1">
        <f>I15/(1+$B$57)^3</f>
        <v>3489.3578887846297</v>
      </c>
      <c r="K57" s="1">
        <f>J15/(1+$B$57)^4</f>
        <v>3203.5976773543671</v>
      </c>
      <c r="L57" s="1">
        <f>K15/(1+$B$57)^5</f>
        <v>2934.7036484789551</v>
      </c>
      <c r="M57" s="1">
        <f>L15/(1+$B$57)^6</f>
        <v>2688.3792447708838</v>
      </c>
      <c r="N57" s="1">
        <f>M15/(1+$B$57)^7</f>
        <v>2462.7300843343382</v>
      </c>
      <c r="O57" s="1">
        <f>N15/(1+$B$57)^8</f>
        <v>2256.0207902521224</v>
      </c>
      <c r="P57" s="1">
        <f>O15/(1+$B$57)^9</f>
        <v>2066.6616444999131</v>
      </c>
      <c r="Q57" s="1">
        <f>(Q15/(B57-Q12))/(1+B57)^10</f>
        <v>20662.304381671151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22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161.29582829935785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0.9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59.472610065356648</v>
      </c>
    </row>
    <row r="67" spans="1:5" x14ac:dyDescent="0.25">
      <c r="A67" s="25"/>
      <c r="E67" s="61"/>
    </row>
    <row r="68" spans="1:5" x14ac:dyDescent="0.25">
      <c r="A68" s="62" t="s">
        <v>41</v>
      </c>
      <c r="E68" s="63">
        <f>(E66*0.25)*-1</f>
        <v>-14.868152516339162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205.90028584837532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1.5990947468868382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0.10022677870256236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2023-01-07T10:42:21Z</dcterms:modified>
</cp:coreProperties>
</file>