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EDB172EC-3BD7-428C-A9A9-DF3FABDF1291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35" l="1"/>
  <c r="E68" i="32"/>
  <c r="E68" i="34"/>
  <c r="I18" i="35" l="1"/>
  <c r="J18" i="35" s="1"/>
  <c r="K18" i="35" s="1"/>
  <c r="L18" i="35" s="1"/>
  <c r="M18" i="35" s="1"/>
  <c r="N18" i="35" s="1"/>
  <c r="O18" i="35" s="1"/>
  <c r="P18" i="35" s="1"/>
  <c r="H18" i="35"/>
  <c r="G11" i="35" l="1"/>
  <c r="J12" i="34"/>
  <c r="K12" i="34"/>
  <c r="J12" i="32" l="1"/>
  <c r="K12" i="32"/>
  <c r="H12" i="35" l="1"/>
  <c r="I12" i="35" l="1"/>
  <c r="J12" i="35" s="1"/>
  <c r="K12" i="35" s="1"/>
  <c r="L12" i="35" s="1"/>
  <c r="M12" i="35" s="1"/>
  <c r="N12" i="35" s="1"/>
  <c r="O12" i="35" s="1"/>
  <c r="H11" i="35"/>
  <c r="J57" i="35"/>
  <c r="I57" i="35"/>
  <c r="H57" i="35"/>
  <c r="D50" i="35"/>
  <c r="C49" i="35"/>
  <c r="I31" i="35"/>
  <c r="I33" i="35" s="1"/>
  <c r="D46" i="35" s="1"/>
  <c r="C55" i="35" s="1"/>
  <c r="I25" i="35"/>
  <c r="G18" i="35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G17" i="35"/>
  <c r="I19" i="35"/>
  <c r="H19" i="35"/>
  <c r="G19" i="35"/>
  <c r="H17" i="35"/>
  <c r="I17" i="35" l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H16" i="35" s="1"/>
  <c r="G14" i="35"/>
  <c r="G16" i="35" s="1"/>
  <c r="I14" i="35" l="1"/>
  <c r="I16" i="35" s="1"/>
  <c r="J14" i="35" l="1"/>
  <c r="J16" i="35" l="1"/>
  <c r="L11" i="35"/>
  <c r="K14" i="35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D52" i="35" l="1"/>
  <c r="E70" i="35"/>
  <c r="E74" i="35" s="1"/>
  <c r="E72" i="35" l="1"/>
  <c r="J14" i="32" l="1"/>
  <c r="L11" i="32"/>
  <c r="K14" i="32"/>
  <c r="K19" i="32" l="1"/>
  <c r="L57" i="32"/>
  <c r="K17" i="32"/>
  <c r="M11" i="32"/>
  <c r="L14" i="32"/>
  <c r="L15" i="32" s="1"/>
  <c r="K57" i="32" l="1"/>
  <c r="J17" i="32"/>
  <c r="J19" i="32"/>
  <c r="J16" i="32"/>
  <c r="M57" i="32"/>
  <c r="L19" i="32"/>
  <c r="L17" i="32"/>
  <c r="M14" i="32"/>
  <c r="M15" i="32" s="1"/>
  <c r="N11" i="32"/>
  <c r="N57" i="32" l="1"/>
  <c r="M19" i="32"/>
  <c r="M17" i="32"/>
  <c r="O11" i="32"/>
  <c r="N14" i="32"/>
  <c r="N15" i="32" s="1"/>
  <c r="O14" i="32" l="1"/>
  <c r="O15" i="32" s="1"/>
  <c r="P11" i="32"/>
  <c r="N19" i="32"/>
  <c r="N17" i="32"/>
  <c r="O57" i="32"/>
  <c r="P14" i="32" l="1"/>
  <c r="P15" i="32" s="1"/>
  <c r="Q11" i="32"/>
  <c r="Q14" i="32" s="1"/>
  <c r="Q15" i="32" s="1"/>
  <c r="P57" i="32"/>
  <c r="O19" i="32"/>
  <c r="O17" i="32"/>
  <c r="D40" i="32" l="1"/>
  <c r="D41" i="32"/>
  <c r="D43" i="32"/>
  <c r="P19" i="32"/>
  <c r="P17" i="32"/>
  <c r="Q57" i="32"/>
  <c r="D57" i="32" s="1"/>
  <c r="Q19" i="32"/>
  <c r="D42" i="32"/>
  <c r="D44" i="32"/>
  <c r="D49" i="32" l="1"/>
  <c r="D51" i="32" s="1"/>
  <c r="D53" i="32" s="1"/>
  <c r="E62" i="32"/>
  <c r="E66" i="32"/>
  <c r="D52" i="32" l="1"/>
  <c r="E70" i="32"/>
  <c r="E74" i="32" s="1"/>
  <c r="E72" i="32" l="1"/>
  <c r="J14" i="34"/>
  <c r="K57" i="34" l="1"/>
  <c r="J19" i="34"/>
  <c r="J17" i="34"/>
  <c r="J16" i="34"/>
  <c r="L11" i="34"/>
  <c r="K14" i="34"/>
  <c r="K19" i="34" l="1"/>
  <c r="L57" i="34"/>
  <c r="K17" i="34"/>
  <c r="M11" i="34"/>
  <c r="L14" i="34"/>
  <c r="L15" i="34" s="1"/>
  <c r="L17" i="34" l="1"/>
  <c r="L19" i="34"/>
  <c r="M57" i="34"/>
  <c r="M14" i="34"/>
  <c r="M15" i="34" s="1"/>
  <c r="N11" i="34"/>
  <c r="N57" i="34" l="1"/>
  <c r="M19" i="34"/>
  <c r="M17" i="34"/>
  <c r="O11" i="34"/>
  <c r="N14" i="34"/>
  <c r="N15" i="34" s="1"/>
  <c r="N19" i="34" l="1"/>
  <c r="N17" i="34"/>
  <c r="O57" i="34"/>
  <c r="O14" i="34"/>
  <c r="O15" i="34" s="1"/>
  <c r="P11" i="34"/>
  <c r="O17" i="34" l="1"/>
  <c r="P57" i="34"/>
  <c r="O19" i="34"/>
  <c r="P14" i="34"/>
  <c r="P15" i="34" s="1"/>
  <c r="Q11" i="34"/>
  <c r="Q14" i="34" s="1"/>
  <c r="Q15" i="34" s="1"/>
  <c r="Q57" i="34" l="1"/>
  <c r="D57" i="34" s="1"/>
  <c r="Q19" i="34"/>
  <c r="P19" i="34"/>
  <c r="P17" i="34"/>
  <c r="D43" i="34"/>
  <c r="D42" i="34"/>
  <c r="D41" i="34"/>
  <c r="D44" i="34"/>
  <c r="D40" i="34"/>
  <c r="D49" i="34" l="1"/>
  <c r="D51" i="34" s="1"/>
  <c r="E62" i="34"/>
  <c r="E66" i="34"/>
  <c r="E70" i="34" l="1"/>
  <c r="E74" i="34" s="1"/>
  <c r="D52" i="34"/>
  <c r="D53" i="34"/>
  <c r="E72" i="34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<sst xmlns="http://schemas.openxmlformats.org/spreadsheetml/2006/main" count="149" uniqueCount="49">
  <si>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</si>
  <si>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</si>
  <si>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</si>
  <si>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</si>
  <si>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</si>
  <si>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</si>
  <si>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</si>
  <si>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</si>
  <si>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</si>
  <si>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</si>
  <si>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</si>
  <si>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</si>
  <si>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</si>
  <si>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</si>
  <si>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</si>
  <si>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</si>
  <si>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</si>
  <si>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</si>
  <si>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</si>
  <si>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</si>
  <si>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</si>
  <si>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</si>
  <si>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</si>
  <si>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</si>
  <si>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</si>
  <si>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</si>
  <si>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</si>
  <si>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</si>
  <si>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</si>
  <si>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</si>
  <si>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</si>
  <si>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</si>
  <si>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</si>
  <si>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</si>
  <si>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</si>
  <si>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</si>
  <si>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</si>
  <si>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</si>
  <si>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</si>
  <si>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</si>
  <si>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</si>
  <si>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KGV Multiple in 2031</t>
  </si>
  <si>
    <t>Gesamtwert 2031</t>
  </si>
  <si>
    <t>Steigerung Gesamt bis 2031 in Prozent</t>
  </si>
  <si>
    <t>Renditeerwartung bis 2031 pro Jahr</t>
  </si>
  <si>
    <t>2032ff.</t>
  </si>
  <si>
    <t xml:space="preserve"> Annahmen für Campari</t>
  </si>
  <si>
    <t>EUR</t>
  </si>
  <si>
    <t>Quellensteuer Niederlande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</si>
</sst>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A68" sqref="A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45</v>
      </c>
    </row>
    <row r="11" spans="1:28" x14ac:dyDescent="0.25">
      <c r="A11" s="5"/>
      <c r="B11" s="4" t="s">
        <v>4</v>
      </c>
      <c r="C11" s="84">
        <v>1711.7</v>
      </c>
      <c r="D11" s="84">
        <v>1842.5</v>
      </c>
      <c r="E11" s="84">
        <v>1772</v>
      </c>
      <c r="F11" s="84">
        <v>2172.6999999999998</v>
      </c>
      <c r="G11" s="74">
        <v>2688.64</v>
      </c>
      <c r="H11" s="74">
        <v>2885.65</v>
      </c>
      <c r="I11" s="74">
        <v>3064.56</v>
      </c>
      <c r="J11" s="74">
        <v>3319.72</v>
      </c>
      <c r="K11" s="74">
        <v>3516.5</v>
      </c>
      <c r="L11" s="74">
        <f t="shared" ref="L11:Q11" si="0">K11*(1+L12)</f>
        <v>3709.9074999999998</v>
      </c>
      <c r="M11" s="74">
        <f t="shared" si="0"/>
        <v>3895.4028749999998</v>
      </c>
      <c r="N11" s="74">
        <f t="shared" si="0"/>
        <v>4051.2189899999998</v>
      </c>
      <c r="O11" s="74">
        <f t="shared" si="0"/>
        <v>4172.7555597</v>
      </c>
      <c r="P11" s="74">
        <f t="shared" si="0"/>
        <v>4256.210670894</v>
      </c>
      <c r="Q11" s="74">
        <f t="shared" si="0"/>
        <v>4320.0538309574094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7.6415259683355607E-2</v>
      </c>
      <c r="E12" s="91">
        <f t="shared" si="1"/>
        <v>-3.8263229308005409E-2</v>
      </c>
      <c r="F12" s="91">
        <f t="shared" si="1"/>
        <v>0.22612866817155752</v>
      </c>
      <c r="G12" s="87">
        <f t="shared" si="1"/>
        <v>0.23746490541722287</v>
      </c>
      <c r="H12" s="87">
        <f t="shared" si="1"/>
        <v>7.327496429421565E-2</v>
      </c>
      <c r="I12" s="87">
        <f t="shared" si="1"/>
        <v>6.1999896037287838E-2</v>
      </c>
      <c r="J12" s="87">
        <f t="shared" ref="J12" si="2">J11/I11-1</f>
        <v>8.3261544887357264E-2</v>
      </c>
      <c r="K12" s="87">
        <f t="shared" ref="K12" si="3">K11/J11-1</f>
        <v>5.9276083525116707E-2</v>
      </c>
      <c r="L12" s="73">
        <v>5.5E-2</v>
      </c>
      <c r="M12" s="73">
        <v>0.05</v>
      </c>
      <c r="N12" s="73">
        <v>0.04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0.22170000000000001</v>
      </c>
      <c r="D13" s="90">
        <v>0.2177</v>
      </c>
      <c r="E13" s="90">
        <v>0.17169999999999999</v>
      </c>
      <c r="F13" s="90">
        <v>0.19309999999999999</v>
      </c>
      <c r="G13" s="86">
        <v>0.20830000000000001</v>
      </c>
      <c r="H13" s="86">
        <v>0.2177</v>
      </c>
      <c r="I13" s="86">
        <v>0.2253</v>
      </c>
      <c r="J13" s="86">
        <v>0.23350000000000001</v>
      </c>
      <c r="K13" s="86">
        <v>0.2384</v>
      </c>
      <c r="L13" s="86">
        <v>0.24</v>
      </c>
      <c r="M13" s="86">
        <v>0.24</v>
      </c>
      <c r="N13" s="86">
        <v>0.24</v>
      </c>
      <c r="O13" s="86">
        <v>0.24</v>
      </c>
      <c r="P13" s="86">
        <v>0.24</v>
      </c>
      <c r="Q13" s="86">
        <v>0.24</v>
      </c>
    </row>
    <row r="14" spans="1:28" ht="17.100000000000001" customHeight="1" x14ac:dyDescent="0.25">
      <c r="A14" s="5"/>
      <c r="B14" s="4" t="s">
        <v>16</v>
      </c>
      <c r="C14" s="84">
        <f>C11*C13</f>
        <v>379.48389000000003</v>
      </c>
      <c r="D14" s="84">
        <f t="shared" ref="D14:I14" si="4">D11*D13</f>
        <v>401.11225000000002</v>
      </c>
      <c r="E14" s="84">
        <f t="shared" si="4"/>
        <v>304.25239999999997</v>
      </c>
      <c r="F14" s="84">
        <f t="shared" si="4"/>
        <v>419.54836999999998</v>
      </c>
      <c r="G14" s="74">
        <f t="shared" si="4"/>
        <v>560.04371200000003</v>
      </c>
      <c r="H14" s="74">
        <f t="shared" si="4"/>
        <v>628.206005</v>
      </c>
      <c r="I14" s="74">
        <f t="shared" si="4"/>
        <v>690.44536800000003</v>
      </c>
      <c r="J14" s="74">
        <f>J11*J13</f>
        <v>775.15462000000002</v>
      </c>
      <c r="K14" s="74">
        <f t="shared" ref="K14:Q14" si="5">K11*K13</f>
        <v>838.33360000000005</v>
      </c>
      <c r="L14" s="74">
        <f t="shared" si="5"/>
        <v>890.37779999999987</v>
      </c>
      <c r="M14" s="74">
        <f t="shared" si="5"/>
        <v>934.89668999999992</v>
      </c>
      <c r="N14" s="74">
        <f t="shared" si="5"/>
        <v>972.2925575999999</v>
      </c>
      <c r="O14" s="74">
        <f t="shared" si="5"/>
        <v>1001.461334328</v>
      </c>
      <c r="P14" s="74">
        <f t="shared" si="5"/>
        <v>1021.4905610145599</v>
      </c>
      <c r="Q14" s="74">
        <f t="shared" si="5"/>
        <v>1036.8129194297783</v>
      </c>
    </row>
    <row r="15" spans="1:28" x14ac:dyDescent="0.25">
      <c r="A15" s="102">
        <v>0.3</v>
      </c>
      <c r="B15" s="4" t="s">
        <v>39</v>
      </c>
      <c r="C15" s="84">
        <v>296.29527000000002</v>
      </c>
      <c r="D15" s="84">
        <v>308.43450000000001</v>
      </c>
      <c r="E15" s="84">
        <v>187.83199999999999</v>
      </c>
      <c r="F15" s="84">
        <v>284.84096999999997</v>
      </c>
      <c r="G15" s="74">
        <v>379.63596799999993</v>
      </c>
      <c r="H15" s="74">
        <v>432.55893500000002</v>
      </c>
      <c r="I15" s="74">
        <v>483.58756799999998</v>
      </c>
      <c r="J15" s="74">
        <v>541.77830400000005</v>
      </c>
      <c r="K15" s="74">
        <v>579.87085000000002</v>
      </c>
      <c r="L15" s="74">
        <f t="shared" ref="L15:Q15" si="6">L14*(1-$A$15)</f>
        <v>623.26445999999987</v>
      </c>
      <c r="M15" s="74">
        <f t="shared" si="6"/>
        <v>654.42768299999989</v>
      </c>
      <c r="N15" s="74">
        <f t="shared" si="6"/>
        <v>680.60479031999989</v>
      </c>
      <c r="O15" s="74">
        <f t="shared" si="6"/>
        <v>701.02293402959992</v>
      </c>
      <c r="P15" s="74">
        <f t="shared" si="6"/>
        <v>715.04339271019194</v>
      </c>
      <c r="Q15" s="74">
        <f t="shared" si="6"/>
        <v>725.76904360084473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0.78078484438430307</v>
      </c>
      <c r="D16" s="15">
        <f t="shared" si="7"/>
        <v>0.76894809370693618</v>
      </c>
      <c r="E16" s="15">
        <f t="shared" si="7"/>
        <v>0.61735585323238207</v>
      </c>
      <c r="F16" s="15">
        <f t="shared" si="7"/>
        <v>0.67892283790781971</v>
      </c>
      <c r="G16" s="15">
        <f t="shared" si="7"/>
        <v>0.6778684589534324</v>
      </c>
      <c r="H16" s="15">
        <f t="shared" si="7"/>
        <v>0.68856224161690405</v>
      </c>
      <c r="I16" s="15">
        <f t="shared" si="7"/>
        <v>0.70039946737683079</v>
      </c>
      <c r="J16" s="15">
        <f t="shared" si="7"/>
        <v>0.69892933618843689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0.33118378086015871</v>
      </c>
      <c r="H17" s="74">
        <f t="shared" ref="H17:P17" si="8">H15/H18</f>
        <v>0.37735229433830586</v>
      </c>
      <c r="I17" s="74">
        <f t="shared" si="8"/>
        <v>0.42186824391520544</v>
      </c>
      <c r="J17" s="74">
        <f t="shared" si="8"/>
        <v>0.47263221146296786</v>
      </c>
      <c r="K17" s="74">
        <f t="shared" si="8"/>
        <v>0.5058630812178313</v>
      </c>
      <c r="L17" s="74">
        <f t="shared" si="8"/>
        <v>0.54371845066736446</v>
      </c>
      <c r="M17" s="74">
        <f t="shared" si="8"/>
        <v>0.57090437320073273</v>
      </c>
      <c r="N17" s="74">
        <f t="shared" si="8"/>
        <v>0.59374054812876198</v>
      </c>
      <c r="O17" s="74">
        <f t="shared" si="8"/>
        <v>0.61155276457262497</v>
      </c>
      <c r="P17" s="74">
        <f t="shared" si="8"/>
        <v>0.62378381986407738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1146.3</v>
      </c>
      <c r="H18" s="74">
        <f>G18*1</f>
        <v>1146.3</v>
      </c>
      <c r="I18" s="74">
        <f t="shared" ref="I18:P18" si="9">H18*1</f>
        <v>1146.3</v>
      </c>
      <c r="J18" s="74">
        <f t="shared" si="9"/>
        <v>1146.3</v>
      </c>
      <c r="K18" s="74">
        <f t="shared" si="9"/>
        <v>1146.3</v>
      </c>
      <c r="L18" s="74">
        <f t="shared" si="9"/>
        <v>1146.3</v>
      </c>
      <c r="M18" s="74">
        <f t="shared" si="9"/>
        <v>1146.3</v>
      </c>
      <c r="N18" s="74">
        <f t="shared" si="9"/>
        <v>1146.3</v>
      </c>
      <c r="O18" s="74">
        <f t="shared" si="9"/>
        <v>1146.3</v>
      </c>
      <c r="P18" s="74">
        <f t="shared" si="9"/>
        <v>1146.3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346.38318248175176</v>
      </c>
      <c r="H19" s="53">
        <f>H15/(1+$C$55)^2</f>
        <v>360.10087694469598</v>
      </c>
      <c r="I19" s="53">
        <f>I15/(1+$C$55)^3</f>
        <v>367.3190607240623</v>
      </c>
      <c r="J19" s="53">
        <f>J15/(1+$C$55)^4</f>
        <v>375.47358797540187</v>
      </c>
      <c r="K19" s="53">
        <f>K15/(1+$C$55)^5</f>
        <v>366.67264102947814</v>
      </c>
      <c r="L19" s="53">
        <f>L15/(1+$C$55)^6</f>
        <v>359.59118607641375</v>
      </c>
      <c r="M19" s="53">
        <f>M15/(1+$C$55)^7</f>
        <v>344.4988552739365</v>
      </c>
      <c r="N19" s="53">
        <f>N15/(1+$C$55)^8</f>
        <v>326.89672398256744</v>
      </c>
      <c r="O19" s="53">
        <f>O15/(1+$C$55)^9</f>
        <v>307.21133731938363</v>
      </c>
      <c r="P19" s="53">
        <f>P15/(1+$C$55)^10</f>
        <v>285.90836137387885</v>
      </c>
      <c r="Q19" s="54">
        <f>(Q15/(C55-Q12))/(1+C55)^10</f>
        <v>3582.6788493146532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44582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11348.37</v>
      </c>
      <c r="D49" s="47">
        <f>SUM(G19:Q19)</f>
        <v>7022.7346624962238</v>
      </c>
      <c r="E49" s="46" t="s">
        <v>47</v>
      </c>
    </row>
    <row r="50" spans="1:17" x14ac:dyDescent="0.25">
      <c r="A50" s="45"/>
      <c r="B50" s="46" t="s">
        <v>11</v>
      </c>
      <c r="C50" s="56">
        <v>1146.3</v>
      </c>
      <c r="D50" s="56">
        <f>C50</f>
        <v>1146.3</v>
      </c>
      <c r="E50" s="46"/>
    </row>
    <row r="51" spans="1:17" x14ac:dyDescent="0.25">
      <c r="A51" s="45"/>
      <c r="B51" s="46" t="s">
        <v>13</v>
      </c>
      <c r="C51" s="89">
        <v>9.9</v>
      </c>
      <c r="D51" s="56">
        <f>D49/(D50)</f>
        <v>6.1264369384072443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0.61594742580894168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5789871.0725403819</v>
      </c>
      <c r="E57" s="46"/>
      <c r="F57" s="1" t="s">
        <v>23</v>
      </c>
      <c r="H57" s="1">
        <f>G15/(1+$B$57)</f>
        <v>342.63174007220209</v>
      </c>
      <c r="I57" s="1">
        <f>H15/(1+$B$57)^2</f>
        <v>352.34309631951407</v>
      </c>
      <c r="J57" s="1">
        <f>I15/(1+$B$57)^3</f>
        <v>355.51329488052858</v>
      </c>
      <c r="K57" s="1">
        <f>J15/(1+$B$57)^4</f>
        <v>359.46993055330427</v>
      </c>
      <c r="L57" s="1">
        <f>K15/(1+$B$57)^5</f>
        <v>347.24218108463373</v>
      </c>
      <c r="M57" s="1">
        <f>L15/(1+$B$57)^6</f>
        <v>336.84786631127753</v>
      </c>
      <c r="N57" s="1">
        <f>M15/(1+$B$57)^7</f>
        <v>319.21503576429728</v>
      </c>
      <c r="O57" s="1">
        <f>N15/(1+$B$57)^8</f>
        <v>299.62422129500817</v>
      </c>
      <c r="P57" s="1">
        <f>O15/(1+$B$57)^9</f>
        <v>278.53154145655088</v>
      </c>
      <c r="Q57" s="1">
        <f>(Q15/(B57-Q12))/(1+B57)^10</f>
        <v>2798.452164803065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41</v>
      </c>
      <c r="B59" s="23"/>
      <c r="C59" s="69">
        <v>16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9.9805411178252381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0.15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0.75788993523420456</v>
      </c>
    </row>
    <row r="67" spans="1:5" x14ac:dyDescent="0.25">
      <c r="A67" s="25"/>
      <c r="E67" s="61"/>
    </row>
    <row r="68" spans="1:5" x14ac:dyDescent="0.25">
      <c r="A68" s="62" t="s">
        <v>48</v>
      </c>
      <c r="E68" s="63">
        <f>(E66*0.25)*-1</f>
        <v>-0.18947248380855114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42</v>
      </c>
      <c r="E70" s="60">
        <f>SUM(E62:E68)</f>
        <v>10.548958569250892</v>
      </c>
    </row>
    <row r="71" spans="1:5" x14ac:dyDescent="0.25">
      <c r="A71" s="25"/>
      <c r="E71" s="60"/>
    </row>
    <row r="72" spans="1:5" x14ac:dyDescent="0.25">
      <c r="A72" s="25" t="s">
        <v>43</v>
      </c>
      <c r="E72" s="64">
        <f>E70/C51-1</f>
        <v>6.5551370631403261E-2</v>
      </c>
    </row>
    <row r="73" spans="1:5" x14ac:dyDescent="0.25">
      <c r="A73" s="25"/>
      <c r="E73" s="26"/>
    </row>
    <row r="74" spans="1:5" ht="16.5" thickBot="1" x14ac:dyDescent="0.3">
      <c r="A74" s="65" t="s">
        <v>44</v>
      </c>
      <c r="B74" s="66"/>
      <c r="C74" s="66"/>
      <c r="D74" s="66"/>
      <c r="E74" s="104">
        <f>(E70/C51)^(1/9)-1</f>
        <v>7.0796524266321104E-3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E69" sqref="E6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45</v>
      </c>
    </row>
    <row r="11" spans="1:28" x14ac:dyDescent="0.25">
      <c r="A11" s="5"/>
      <c r="B11" s="4" t="s">
        <v>4</v>
      </c>
      <c r="C11" s="84">
        <v>1711.7</v>
      </c>
      <c r="D11" s="84">
        <v>1842.5</v>
      </c>
      <c r="E11" s="84">
        <v>1772</v>
      </c>
      <c r="F11" s="84">
        <v>2172.6999999999998</v>
      </c>
      <c r="G11" s="74">
        <v>2688.64</v>
      </c>
      <c r="H11" s="74">
        <v>2885.65</v>
      </c>
      <c r="I11" s="74">
        <v>3064.56</v>
      </c>
      <c r="J11" s="74">
        <v>3319.72</v>
      </c>
      <c r="K11" s="74">
        <v>3516.5</v>
      </c>
      <c r="L11" s="74">
        <f t="shared" ref="L11:Q11" si="0">K11*(1+L12)</f>
        <v>3868.15</v>
      </c>
      <c r="M11" s="74">
        <f t="shared" si="0"/>
        <v>4254.9650000000001</v>
      </c>
      <c r="N11" s="74">
        <f t="shared" si="0"/>
        <v>4637.9118500000004</v>
      </c>
      <c r="O11" s="74">
        <f t="shared" si="0"/>
        <v>4962.5656795000004</v>
      </c>
      <c r="P11" s="74">
        <f t="shared" si="0"/>
        <v>5210.6939634750006</v>
      </c>
      <c r="Q11" s="74">
        <f t="shared" si="0"/>
        <v>5314.9078427445011</v>
      </c>
    </row>
    <row r="12" spans="1:28" x14ac:dyDescent="0.25">
      <c r="A12" s="5"/>
      <c r="B12" s="4" t="s">
        <v>1</v>
      </c>
      <c r="C12" s="91"/>
      <c r="D12" s="91">
        <f t="shared" ref="D12:I12" si="1">D11/C11-1</f>
        <v>7.6415259683355607E-2</v>
      </c>
      <c r="E12" s="91">
        <f t="shared" si="1"/>
        <v>-3.8263229308005409E-2</v>
      </c>
      <c r="F12" s="91">
        <f t="shared" si="1"/>
        <v>0.22612866817155752</v>
      </c>
      <c r="G12" s="87">
        <f t="shared" si="1"/>
        <v>0.23746490541722287</v>
      </c>
      <c r="H12" s="87">
        <f t="shared" si="1"/>
        <v>7.327496429421565E-2</v>
      </c>
      <c r="I12" s="87">
        <f t="shared" si="1"/>
        <v>6.1999896037287838E-2</v>
      </c>
      <c r="J12" s="87">
        <f t="shared" ref="J12" si="2">J11/I11-1</f>
        <v>8.3261544887357264E-2</v>
      </c>
      <c r="K12" s="87">
        <f t="shared" ref="K12" si="3">K11/J11-1</f>
        <v>5.9276083525116707E-2</v>
      </c>
      <c r="L12" s="73">
        <v>0.1</v>
      </c>
      <c r="M12" s="73">
        <v>0.1</v>
      </c>
      <c r="N12" s="73">
        <v>0.09</v>
      </c>
      <c r="O12" s="73">
        <v>7.0000000000000007E-2</v>
      </c>
      <c r="P12" s="73">
        <v>0.05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0.22170000000000001</v>
      </c>
      <c r="D13" s="90">
        <v>0.2177</v>
      </c>
      <c r="E13" s="90">
        <v>0.17169999999999999</v>
      </c>
      <c r="F13" s="90">
        <v>0.19309999999999999</v>
      </c>
      <c r="G13" s="86">
        <v>0.20830000000000001</v>
      </c>
      <c r="H13" s="86">
        <v>0.2177</v>
      </c>
      <c r="I13" s="86">
        <v>0.2253</v>
      </c>
      <c r="J13" s="86">
        <v>0.23350000000000001</v>
      </c>
      <c r="K13" s="86">
        <v>0.2384</v>
      </c>
      <c r="L13" s="86">
        <v>0.24</v>
      </c>
      <c r="M13" s="86">
        <v>0.24</v>
      </c>
      <c r="N13" s="86">
        <v>0.245</v>
      </c>
      <c r="O13" s="86">
        <v>0.245</v>
      </c>
      <c r="P13" s="86">
        <v>0.25</v>
      </c>
      <c r="Q13" s="86">
        <v>0.25</v>
      </c>
    </row>
    <row r="14" spans="1:28" ht="17.100000000000001" customHeight="1" x14ac:dyDescent="0.25">
      <c r="A14" s="5"/>
      <c r="B14" s="4" t="s">
        <v>16</v>
      </c>
      <c r="C14" s="84">
        <f>C11*C13</f>
        <v>379.48389000000003</v>
      </c>
      <c r="D14" s="84">
        <f t="shared" ref="D14:J14" si="4">D11*D13</f>
        <v>401.11225000000002</v>
      </c>
      <c r="E14" s="84">
        <f t="shared" si="4"/>
        <v>304.25239999999997</v>
      </c>
      <c r="F14" s="84">
        <f t="shared" si="4"/>
        <v>419.54836999999998</v>
      </c>
      <c r="G14" s="74">
        <f t="shared" si="4"/>
        <v>560.04371200000003</v>
      </c>
      <c r="H14" s="74">
        <f t="shared" si="4"/>
        <v>628.206005</v>
      </c>
      <c r="I14" s="74">
        <f t="shared" si="4"/>
        <v>690.44536800000003</v>
      </c>
      <c r="J14" s="74">
        <f t="shared" si="4"/>
        <v>775.15462000000002</v>
      </c>
      <c r="K14" s="74">
        <f t="shared" ref="K14:Q14" si="5">K11*K13</f>
        <v>838.33360000000005</v>
      </c>
      <c r="L14" s="74">
        <f t="shared" si="5"/>
        <v>928.35599999999999</v>
      </c>
      <c r="M14" s="74">
        <f t="shared" si="5"/>
        <v>1021.1916</v>
      </c>
      <c r="N14" s="74">
        <f t="shared" si="5"/>
        <v>1136.2884032500001</v>
      </c>
      <c r="O14" s="74">
        <f>O11*O13</f>
        <v>1215.8285914775001</v>
      </c>
      <c r="P14" s="74">
        <f t="shared" si="5"/>
        <v>1302.6734908687502</v>
      </c>
      <c r="Q14" s="74">
        <f t="shared" si="5"/>
        <v>1328.7269606861253</v>
      </c>
    </row>
    <row r="15" spans="1:28" x14ac:dyDescent="0.25">
      <c r="A15" s="102">
        <v>0.25</v>
      </c>
      <c r="B15" s="4" t="s">
        <v>39</v>
      </c>
      <c r="C15" s="84">
        <v>296.29527000000002</v>
      </c>
      <c r="D15" s="84">
        <v>308.43450000000001</v>
      </c>
      <c r="E15" s="84">
        <v>187.83199999999999</v>
      </c>
      <c r="F15" s="84">
        <v>284.84096999999997</v>
      </c>
      <c r="G15" s="74">
        <v>379.63596799999993</v>
      </c>
      <c r="H15" s="74">
        <v>432.55893500000002</v>
      </c>
      <c r="I15" s="74">
        <v>483.58756799999998</v>
      </c>
      <c r="J15" s="74">
        <v>541.77830400000005</v>
      </c>
      <c r="K15" s="74">
        <v>579.87085000000002</v>
      </c>
      <c r="L15" s="74">
        <f t="shared" ref="L15:Q15" si="6">L14*(1-$A$15)</f>
        <v>696.26700000000005</v>
      </c>
      <c r="M15" s="74">
        <f t="shared" si="6"/>
        <v>765.89369999999997</v>
      </c>
      <c r="N15" s="74">
        <f t="shared" si="6"/>
        <v>852.21630243750008</v>
      </c>
      <c r="O15" s="74">
        <f>O14*(1-$A$15)</f>
        <v>911.87144360812511</v>
      </c>
      <c r="P15" s="74">
        <f t="shared" si="6"/>
        <v>977.00511815156256</v>
      </c>
      <c r="Q15" s="74">
        <f t="shared" si="6"/>
        <v>996.54522051459389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0.78078484438430307</v>
      </c>
      <c r="D16" s="15">
        <f t="shared" si="7"/>
        <v>0.76894809370693618</v>
      </c>
      <c r="E16" s="15">
        <f t="shared" si="7"/>
        <v>0.61735585323238207</v>
      </c>
      <c r="F16" s="15">
        <f t="shared" si="7"/>
        <v>0.67892283790781971</v>
      </c>
      <c r="G16" s="15">
        <f t="shared" si="7"/>
        <v>0.6778684589534324</v>
      </c>
      <c r="H16" s="15">
        <f t="shared" si="7"/>
        <v>0.68856224161690405</v>
      </c>
      <c r="I16" s="15">
        <f t="shared" si="7"/>
        <v>0.70039946737683079</v>
      </c>
      <c r="J16" s="15">
        <f t="shared" si="7"/>
        <v>0.69892933618843689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0.33118378086015871</v>
      </c>
      <c r="H17" s="74">
        <f t="shared" ref="H17:O17" si="8">H15/H18</f>
        <v>0.37735229433830586</v>
      </c>
      <c r="I17" s="74">
        <f t="shared" si="8"/>
        <v>0.42186824391520544</v>
      </c>
      <c r="J17" s="74">
        <f t="shared" si="8"/>
        <v>0.47263221146296786</v>
      </c>
      <c r="K17" s="74">
        <f t="shared" si="8"/>
        <v>0.5058630812178313</v>
      </c>
      <c r="L17" s="74">
        <f t="shared" si="8"/>
        <v>0.60740382098926993</v>
      </c>
      <c r="M17" s="74">
        <f t="shared" si="8"/>
        <v>0.66814420308819678</v>
      </c>
      <c r="N17" s="74">
        <f t="shared" si="8"/>
        <v>0.7434496226445958</v>
      </c>
      <c r="O17" s="74">
        <f t="shared" si="8"/>
        <v>0.79549109622971748</v>
      </c>
      <c r="P17" s="74">
        <f>P15/P18</f>
        <v>0.85231188881755438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1146.3</v>
      </c>
      <c r="H18" s="74">
        <f>G18*1</f>
        <v>1146.3</v>
      </c>
      <c r="I18" s="74">
        <f t="shared" ref="I18:P18" si="9">H18*1</f>
        <v>1146.3</v>
      </c>
      <c r="J18" s="74">
        <f t="shared" si="9"/>
        <v>1146.3</v>
      </c>
      <c r="K18" s="74">
        <f t="shared" si="9"/>
        <v>1146.3</v>
      </c>
      <c r="L18" s="74">
        <f t="shared" si="9"/>
        <v>1146.3</v>
      </c>
      <c r="M18" s="74">
        <f t="shared" si="9"/>
        <v>1146.3</v>
      </c>
      <c r="N18" s="74">
        <f t="shared" si="9"/>
        <v>1146.3</v>
      </c>
      <c r="O18" s="74">
        <f t="shared" si="9"/>
        <v>1146.3</v>
      </c>
      <c r="P18" s="74">
        <f t="shared" si="9"/>
        <v>1146.3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346.38318248175176</v>
      </c>
      <c r="H19" s="53">
        <f>H15/(1+$C$55)^2</f>
        <v>360.10087694469598</v>
      </c>
      <c r="I19" s="53">
        <f>I15/(1+$C$55)^3</f>
        <v>367.3190607240623</v>
      </c>
      <c r="J19" s="53">
        <f>J15/(1+$C$55)^4</f>
        <v>375.47358797540187</v>
      </c>
      <c r="K19" s="53">
        <f>K15/(1+$C$55)^5</f>
        <v>366.67264102947814</v>
      </c>
      <c r="L19" s="53">
        <f>L15/(1+$C$55)^6</f>
        <v>401.70985580642031</v>
      </c>
      <c r="M19" s="53">
        <f>M15/(1+$C$55)^7</f>
        <v>403.17595017067725</v>
      </c>
      <c r="N19" s="53">
        <f>N15/(1+$C$55)^8</f>
        <v>409.32229886359244</v>
      </c>
      <c r="O19" s="53">
        <f>O15/(1+$C$55)^9</f>
        <v>399.61209834310574</v>
      </c>
      <c r="P19" s="53">
        <f>P15/(1+$C$55)^10</f>
        <v>390.65312012164918</v>
      </c>
      <c r="Q19" s="54">
        <f>(Q15/(C55-Q12))/(1+C55)^10</f>
        <v>5242.9760858431855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44582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11348.37</v>
      </c>
      <c r="D49" s="47">
        <f>SUM(G19:Q19)</f>
        <v>9063.3987583040216</v>
      </c>
      <c r="E49" s="46" t="s">
        <v>47</v>
      </c>
    </row>
    <row r="50" spans="1:17" x14ac:dyDescent="0.25">
      <c r="A50" s="45"/>
      <c r="B50" s="46" t="s">
        <v>11</v>
      </c>
      <c r="C50" s="56">
        <v>1146.3</v>
      </c>
      <c r="D50" s="56">
        <f>C50</f>
        <v>1146.3</v>
      </c>
      <c r="E50" s="46"/>
    </row>
    <row r="51" spans="1:17" x14ac:dyDescent="0.25">
      <c r="A51" s="45"/>
      <c r="B51" s="46" t="s">
        <v>13</v>
      </c>
      <c r="C51" s="89">
        <v>9.9</v>
      </c>
      <c r="D51" s="56">
        <f>D49/(D50)</f>
        <v>7.9066551149821356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0.25210975514041611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7305415.8745703138</v>
      </c>
      <c r="E57" s="46"/>
      <c r="F57" s="1" t="s">
        <v>23</v>
      </c>
      <c r="H57" s="1">
        <f>G15/(1+$B$57)</f>
        <v>342.63174007220209</v>
      </c>
      <c r="I57" s="1">
        <f>H15/(1+$B$57)^2</f>
        <v>352.34309631951407</v>
      </c>
      <c r="J57" s="1">
        <f>I15/(1+$B$57)^3</f>
        <v>355.51329488052858</v>
      </c>
      <c r="K57" s="1">
        <f>J15/(1+$B$57)^4</f>
        <v>359.46993055330427</v>
      </c>
      <c r="L57" s="1">
        <f>K15/(1+$B$57)^5</f>
        <v>347.24218108463373</v>
      </c>
      <c r="M57" s="1">
        <f>L15/(1+$B$57)^6</f>
        <v>376.30262654949763</v>
      </c>
      <c r="N57" s="1">
        <f>M15/(1+$B$57)^7</f>
        <v>373.58564007621601</v>
      </c>
      <c r="O57" s="1">
        <f>N15/(1+$B$57)^8</f>
        <v>375.17315426576965</v>
      </c>
      <c r="P57" s="1">
        <f>O15/(1+$B$57)^9</f>
        <v>362.30620493174501</v>
      </c>
      <c r="Q57" s="1">
        <f>(Q15/(B57-Q12))/(1+B57)^10</f>
        <v>4060.8480058369023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41</v>
      </c>
      <c r="B59" s="23"/>
      <c r="C59" s="69">
        <v>23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19.603173442803751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0.25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1.4439250608909509</v>
      </c>
    </row>
    <row r="67" spans="1:5" x14ac:dyDescent="0.25">
      <c r="A67" s="25"/>
      <c r="E67" s="61"/>
    </row>
    <row r="68" spans="1:5" x14ac:dyDescent="0.25">
      <c r="A68" s="62" t="s">
        <v>48</v>
      </c>
      <c r="E68" s="63">
        <f>(E66*0.25)*-1</f>
        <v>-0.36098126522273771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42</v>
      </c>
      <c r="E70" s="60">
        <f>SUM(E62:E68)</f>
        <v>20.686117238471965</v>
      </c>
    </row>
    <row r="71" spans="1:5" x14ac:dyDescent="0.25">
      <c r="A71" s="25"/>
      <c r="E71" s="60"/>
    </row>
    <row r="72" spans="1:5" x14ac:dyDescent="0.25">
      <c r="A72" s="25" t="s">
        <v>43</v>
      </c>
      <c r="E72" s="64">
        <f>E70/C51-1</f>
        <v>1.0895067917648449</v>
      </c>
    </row>
    <row r="73" spans="1:5" x14ac:dyDescent="0.25">
      <c r="A73" s="25"/>
      <c r="E73" s="26"/>
    </row>
    <row r="74" spans="1:5" ht="16.5" thickBot="1" x14ac:dyDescent="0.3">
      <c r="A74" s="65" t="s">
        <v>44</v>
      </c>
      <c r="B74" s="66"/>
      <c r="C74" s="66"/>
      <c r="D74" s="66"/>
      <c r="E74" s="104">
        <f>(E70/C51)^(1/9)-1</f>
        <v>8.5326534112331709E-2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45</v>
      </c>
    </row>
    <row r="11" spans="1:28" x14ac:dyDescent="0.25">
      <c r="A11" s="5"/>
      <c r="B11" s="4" t="s">
        <v>4</v>
      </c>
      <c r="C11" s="84">
        <v>1711.7</v>
      </c>
      <c r="D11" s="84">
        <v>1842.5</v>
      </c>
      <c r="E11" s="84">
        <v>1772</v>
      </c>
      <c r="F11" s="84">
        <v>2172.6999999999998</v>
      </c>
      <c r="G11" s="74">
        <f t="shared" ref="G11" si="0">F11*(1+G12)</f>
        <v>2455.1509999999994</v>
      </c>
      <c r="H11" s="74">
        <f t="shared" ref="H11" si="1">G11*(1+H12)</f>
        <v>2774.3206299999993</v>
      </c>
      <c r="I11" s="74">
        <f t="shared" ref="I11" si="2">H11*(1+I12)</f>
        <v>3134.9823118999989</v>
      </c>
      <c r="J11" s="74">
        <f t="shared" ref="J11" si="3">I11*(1+J12)</f>
        <v>3542.5300124469982</v>
      </c>
      <c r="K11" s="74">
        <f t="shared" ref="K11" si="4">J11*(1+K12)</f>
        <v>4003.0589140651077</v>
      </c>
      <c r="L11" s="74">
        <f t="shared" ref="L11:Q11" si="5">K11*(1+L12)</f>
        <v>4523.4565728935713</v>
      </c>
      <c r="M11" s="74">
        <f t="shared" si="5"/>
        <v>5111.5059273697352</v>
      </c>
      <c r="N11" s="74">
        <f t="shared" si="5"/>
        <v>5776.0016979278007</v>
      </c>
      <c r="O11" s="74">
        <f t="shared" si="5"/>
        <v>6526.8819186584142</v>
      </c>
      <c r="P11" s="74">
        <f t="shared" si="5"/>
        <v>6983.7636529645033</v>
      </c>
      <c r="Q11" s="74">
        <f t="shared" si="5"/>
        <v>7123.4389260237931</v>
      </c>
    </row>
    <row r="12" spans="1:28" x14ac:dyDescent="0.25">
      <c r="A12" s="5"/>
      <c r="B12" s="4" t="s">
        <v>1</v>
      </c>
      <c r="C12" s="88"/>
      <c r="D12" s="91">
        <f t="shared" ref="D12:F12" si="6">D11/C11-1</f>
        <v>7.6415259683355607E-2</v>
      </c>
      <c r="E12" s="91">
        <f t="shared" si="6"/>
        <v>-3.8263229308005409E-2</v>
      </c>
      <c r="F12" s="91">
        <f t="shared" si="6"/>
        <v>0.22612866817155752</v>
      </c>
      <c r="G12" s="87">
        <v>0.13</v>
      </c>
      <c r="H12" s="87">
        <f>G12</f>
        <v>0.13</v>
      </c>
      <c r="I12" s="87">
        <f t="shared" ref="I12:O12" si="7">H12</f>
        <v>0.13</v>
      </c>
      <c r="J12" s="87">
        <f t="shared" si="7"/>
        <v>0.13</v>
      </c>
      <c r="K12" s="87">
        <f t="shared" si="7"/>
        <v>0.13</v>
      </c>
      <c r="L12" s="87">
        <f t="shared" si="7"/>
        <v>0.13</v>
      </c>
      <c r="M12" s="87">
        <f t="shared" si="7"/>
        <v>0.13</v>
      </c>
      <c r="N12" s="87">
        <f t="shared" si="7"/>
        <v>0.13</v>
      </c>
      <c r="O12" s="87">
        <f t="shared" si="7"/>
        <v>0.13</v>
      </c>
      <c r="P12" s="87">
        <v>7.0000000000000007E-2</v>
      </c>
      <c r="Q12" s="87">
        <v>0.02</v>
      </c>
    </row>
    <row r="13" spans="1:28" ht="15.95" customHeight="1" x14ac:dyDescent="0.25">
      <c r="A13" s="5"/>
      <c r="B13" s="4" t="s">
        <v>15</v>
      </c>
      <c r="C13" s="90">
        <v>0.22170000000000001</v>
      </c>
      <c r="D13" s="90">
        <v>0.2177</v>
      </c>
      <c r="E13" s="90">
        <v>0.17169999999999999</v>
      </c>
      <c r="F13" s="90">
        <v>0.19309999999999999</v>
      </c>
      <c r="G13" s="86">
        <v>0.20830000000000001</v>
      </c>
      <c r="H13" s="86">
        <v>0.2177</v>
      </c>
      <c r="I13" s="86">
        <v>0.2253</v>
      </c>
      <c r="J13" s="86">
        <v>0.23350000000000001</v>
      </c>
      <c r="K13" s="86">
        <v>0.2384</v>
      </c>
      <c r="L13" s="86">
        <v>0.24</v>
      </c>
      <c r="M13" s="86">
        <v>0.24</v>
      </c>
      <c r="N13" s="86">
        <v>0.245</v>
      </c>
      <c r="O13" s="86">
        <v>0.245</v>
      </c>
      <c r="P13" s="86">
        <v>0.25</v>
      </c>
      <c r="Q13" s="86">
        <v>0.25</v>
      </c>
    </row>
    <row r="14" spans="1:28" ht="17.100000000000001" customHeight="1" x14ac:dyDescent="0.25">
      <c r="A14" s="5"/>
      <c r="B14" s="4" t="s">
        <v>16</v>
      </c>
      <c r="C14" s="84">
        <f>C11*C13</f>
        <v>379.48389000000003</v>
      </c>
      <c r="D14" s="84">
        <f t="shared" ref="D14:Q14" si="8">D11*D13</f>
        <v>401.11225000000002</v>
      </c>
      <c r="E14" s="84">
        <f t="shared" si="8"/>
        <v>304.25239999999997</v>
      </c>
      <c r="F14" s="84">
        <f t="shared" si="8"/>
        <v>419.54836999999998</v>
      </c>
      <c r="G14" s="74">
        <f t="shared" si="8"/>
        <v>511.40795329999992</v>
      </c>
      <c r="H14" s="74">
        <f t="shared" si="8"/>
        <v>603.96960115099989</v>
      </c>
      <c r="I14" s="74">
        <f t="shared" si="8"/>
        <v>706.31151487106979</v>
      </c>
      <c r="J14" s="74">
        <f t="shared" si="8"/>
        <v>827.18075790637408</v>
      </c>
      <c r="K14" s="74">
        <f t="shared" si="8"/>
        <v>954.32924511312171</v>
      </c>
      <c r="L14" s="74">
        <f t="shared" si="8"/>
        <v>1085.6295774944572</v>
      </c>
      <c r="M14" s="74">
        <f t="shared" si="8"/>
        <v>1226.7614225687364</v>
      </c>
      <c r="N14" s="74">
        <f t="shared" si="8"/>
        <v>1415.1204159923111</v>
      </c>
      <c r="O14" s="74">
        <f>O11*O13</f>
        <v>1599.0860700713115</v>
      </c>
      <c r="P14" s="74">
        <f t="shared" si="8"/>
        <v>1745.9409132411258</v>
      </c>
      <c r="Q14" s="74">
        <f t="shared" si="8"/>
        <v>1780.8597315059483</v>
      </c>
    </row>
    <row r="15" spans="1:28" x14ac:dyDescent="0.25">
      <c r="A15" s="102">
        <v>0.25</v>
      </c>
      <c r="B15" s="4" t="s">
        <v>39</v>
      </c>
      <c r="C15" s="84">
        <v>296.29527000000002</v>
      </c>
      <c r="D15" s="84">
        <v>308.43450000000001</v>
      </c>
      <c r="E15" s="84">
        <v>187.83199999999999</v>
      </c>
      <c r="F15" s="84">
        <v>284.84096999999997</v>
      </c>
      <c r="G15" s="74">
        <v>379.63596799999993</v>
      </c>
      <c r="H15" s="74">
        <v>432.55893500000002</v>
      </c>
      <c r="I15" s="74">
        <v>483.58756799999998</v>
      </c>
      <c r="J15" s="74">
        <v>541.77830400000005</v>
      </c>
      <c r="K15" s="74">
        <v>579.87085000000002</v>
      </c>
      <c r="L15" s="74">
        <f t="shared" ref="L15:Q15" si="9">L14*(1-$A$15)</f>
        <v>814.22218312084283</v>
      </c>
      <c r="M15" s="74">
        <f t="shared" si="9"/>
        <v>920.07106692655225</v>
      </c>
      <c r="N15" s="74">
        <f t="shared" si="9"/>
        <v>1061.3403119942334</v>
      </c>
      <c r="O15" s="74">
        <f>O14*(1-$A$15)</f>
        <v>1199.3145525534837</v>
      </c>
      <c r="P15" s="74">
        <f t="shared" si="9"/>
        <v>1309.4556849308444</v>
      </c>
      <c r="Q15" s="74">
        <f t="shared" si="9"/>
        <v>1335.6447986294611</v>
      </c>
    </row>
    <row r="16" spans="1:28" ht="32.25" hidden="1" thickBot="1" x14ac:dyDescent="0.3">
      <c r="A16" s="13" t="s">
        <v>6</v>
      </c>
      <c r="B16" s="14"/>
      <c r="C16" s="15">
        <f t="shared" ref="C16:J16" si="10">C15/C14</f>
        <v>0.78078484438430307</v>
      </c>
      <c r="D16" s="15">
        <f t="shared" si="10"/>
        <v>0.76894809370693618</v>
      </c>
      <c r="E16" s="15">
        <f t="shared" si="10"/>
        <v>0.61735585323238207</v>
      </c>
      <c r="F16" s="15">
        <f t="shared" si="10"/>
        <v>0.67892283790781971</v>
      </c>
      <c r="G16" s="15">
        <f t="shared" si="10"/>
        <v>0.74233489242843187</v>
      </c>
      <c r="H16" s="15">
        <f t="shared" si="10"/>
        <v>0.71619322259872298</v>
      </c>
      <c r="I16" s="15">
        <f t="shared" si="10"/>
        <v>0.68466612509959446</v>
      </c>
      <c r="J16" s="15">
        <f t="shared" si="10"/>
        <v>0.65496966512042842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0.33118378086015871</v>
      </c>
      <c r="H17" s="74">
        <f t="shared" ref="H17:O17" si="11">H15/H18</f>
        <v>0.37735229433830586</v>
      </c>
      <c r="I17" s="74">
        <f t="shared" si="11"/>
        <v>0.42186824391520544</v>
      </c>
      <c r="J17" s="74">
        <f t="shared" si="11"/>
        <v>0.47263221146296786</v>
      </c>
      <c r="K17" s="74">
        <f t="shared" si="11"/>
        <v>0.5058630812178313</v>
      </c>
      <c r="L17" s="74">
        <f t="shared" si="11"/>
        <v>0.71030461757030694</v>
      </c>
      <c r="M17" s="74">
        <f t="shared" si="11"/>
        <v>0.80264421785444673</v>
      </c>
      <c r="N17" s="74">
        <f t="shared" si="11"/>
        <v>0.92588354880418167</v>
      </c>
      <c r="O17" s="74">
        <f t="shared" si="11"/>
        <v>1.0462484101487253</v>
      </c>
      <c r="P17" s="74">
        <f>P15/P18</f>
        <v>1.1423324478154449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1146.3</v>
      </c>
      <c r="H18" s="74">
        <f>G18*1</f>
        <v>1146.3</v>
      </c>
      <c r="I18" s="74">
        <f t="shared" ref="I18:P18" si="12">H18*1</f>
        <v>1146.3</v>
      </c>
      <c r="J18" s="74">
        <f t="shared" si="12"/>
        <v>1146.3</v>
      </c>
      <c r="K18" s="74">
        <f t="shared" si="12"/>
        <v>1146.3</v>
      </c>
      <c r="L18" s="74">
        <f t="shared" si="12"/>
        <v>1146.3</v>
      </c>
      <c r="M18" s="74">
        <f t="shared" si="12"/>
        <v>1146.3</v>
      </c>
      <c r="N18" s="74">
        <f t="shared" si="12"/>
        <v>1146.3</v>
      </c>
      <c r="O18" s="74">
        <f t="shared" si="12"/>
        <v>1146.3</v>
      </c>
      <c r="P18" s="74">
        <f t="shared" si="12"/>
        <v>1146.3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346.38318248175176</v>
      </c>
      <c r="H19" s="53">
        <f>H15/(1+$C$55)^2</f>
        <v>360.10087694469598</v>
      </c>
      <c r="I19" s="53">
        <f>I15/(1+$C$55)^3</f>
        <v>367.3190607240623</v>
      </c>
      <c r="J19" s="53">
        <f>J15/(1+$C$55)^4</f>
        <v>375.47358797540187</v>
      </c>
      <c r="K19" s="53">
        <f>K15/(1+$C$55)^5</f>
        <v>366.67264102947814</v>
      </c>
      <c r="L19" s="53">
        <f>L15/(1+$C$55)^6</f>
        <v>469.7638632534107</v>
      </c>
      <c r="M19" s="53">
        <f>M15/(1+$C$55)^7</f>
        <v>484.33682981419162</v>
      </c>
      <c r="N19" s="53">
        <f>N15/(1+$C$55)^8</f>
        <v>509.76524990137972</v>
      </c>
      <c r="O19" s="53">
        <f>O15/(1+$C$55)^9</f>
        <v>525.57913539102105</v>
      </c>
      <c r="P19" s="53">
        <f>P15/(1+$C$55)^10</f>
        <v>523.58267062825155</v>
      </c>
      <c r="Q19" s="54">
        <f>(Q15/(C55-Q12))/(1+C55)^10</f>
        <v>7027.0305794844253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44582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11348.37</v>
      </c>
      <c r="D49" s="47">
        <f>SUM(G19:Q19)</f>
        <v>11356.007677628069</v>
      </c>
      <c r="E49" s="46" t="s">
        <v>47</v>
      </c>
    </row>
    <row r="50" spans="1:17" x14ac:dyDescent="0.25">
      <c r="A50" s="45"/>
      <c r="B50" s="46" t="s">
        <v>11</v>
      </c>
      <c r="C50" s="56">
        <v>1146.3</v>
      </c>
      <c r="D50" s="56">
        <f>C50</f>
        <v>1146.3</v>
      </c>
      <c r="E50" s="46"/>
    </row>
    <row r="51" spans="1:17" x14ac:dyDescent="0.25">
      <c r="A51" s="45"/>
      <c r="B51" s="46" t="s">
        <v>13</v>
      </c>
      <c r="C51" s="89">
        <v>9.9</v>
      </c>
      <c r="D51" s="56">
        <f>D49/(D50)</f>
        <v>9.906662895950511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6.7256714198216105E-4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9032446.0342985783</v>
      </c>
      <c r="E57" s="46"/>
      <c r="F57" s="1" t="s">
        <v>23</v>
      </c>
      <c r="H57" s="1">
        <f>G15/(1+$B$57)</f>
        <v>342.63174007220209</v>
      </c>
      <c r="I57" s="1">
        <f>H15/(1+$B$57)^2</f>
        <v>352.34309631951407</v>
      </c>
      <c r="J57" s="1">
        <f>I15/(1+$B$57)^3</f>
        <v>355.51329488052858</v>
      </c>
      <c r="K57" s="1">
        <f>J15/(1+$B$57)^4</f>
        <v>359.46993055330427</v>
      </c>
      <c r="L57" s="1">
        <f>K15/(1+$B$57)^5</f>
        <v>347.24218108463373</v>
      </c>
      <c r="M57" s="1">
        <f>L15/(1+$B$57)^6</f>
        <v>440.05237373484482</v>
      </c>
      <c r="N57" s="1">
        <f>M15/(1+$B$57)^7</f>
        <v>448.7898757404102</v>
      </c>
      <c r="O57" s="1">
        <f>N15/(1+$B$57)^8</f>
        <v>467.23630076238169</v>
      </c>
      <c r="P57" s="1">
        <f>O15/(1+$B$57)^9</f>
        <v>476.51355583167077</v>
      </c>
      <c r="Q57" s="1">
        <f>(Q15/(B57-Q12))/(1+B57)^10</f>
        <v>5442.6536853190883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41</v>
      </c>
      <c r="B59" s="23"/>
      <c r="C59" s="69">
        <v>20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22.846648956308897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0.2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1.347262570797515</v>
      </c>
    </row>
    <row r="67" spans="1:5" x14ac:dyDescent="0.25">
      <c r="A67" s="25"/>
      <c r="E67" s="61"/>
    </row>
    <row r="68" spans="1:5" x14ac:dyDescent="0.25">
      <c r="A68" s="62" t="s">
        <v>48</v>
      </c>
      <c r="E68" s="63">
        <f>(E66*0.25)*-1</f>
        <v>-0.33681564269937875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42</v>
      </c>
      <c r="E70" s="60">
        <f>SUM(E62:E68)</f>
        <v>23.857095884407034</v>
      </c>
    </row>
    <row r="71" spans="1:5" x14ac:dyDescent="0.25">
      <c r="A71" s="25"/>
      <c r="E71" s="60"/>
    </row>
    <row r="72" spans="1:5" x14ac:dyDescent="0.25">
      <c r="A72" s="25" t="s">
        <v>43</v>
      </c>
      <c r="E72" s="64">
        <f>E70/C51-1</f>
        <v>1.4098076650916194</v>
      </c>
    </row>
    <row r="73" spans="1:5" x14ac:dyDescent="0.25">
      <c r="A73" s="25"/>
      <c r="E73" s="26"/>
    </row>
    <row r="74" spans="1:5" ht="16.5" thickBot="1" x14ac:dyDescent="0.3">
      <c r="A74" s="65" t="s">
        <v>44</v>
      </c>
      <c r="B74" s="66"/>
      <c r="C74" s="66"/>
      <c r="D74" s="66"/>
      <c r="E74" s="104">
        <f>(E70/C51)^(1/9)-1</f>
        <v>0.10266219975612456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2023-01-21T14:53:25Z</dcterms:modified>
</cp:coreProperties>
</file>