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\Desktop\WLA\"/>
    </mc:Choice>
  </mc:AlternateContent>
  <xr:revisionPtr revIDLastSave="0" documentId="13_ncr:1_{E9E4B61E-08E1-4B06-B427-BCF3868C6424}" xr6:coauthVersionLast="44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essimistisch" sheetId="34" r:id="rId1"/>
    <sheet name="Optimistisch" sheetId="32" r:id="rId2"/>
    <sheet name="Wachstum für faire Bewertung" sheetId="3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35" l="1"/>
  <c r="I12" i="35" l="1"/>
  <c r="J12" i="35" s="1"/>
  <c r="K12" i="35" s="1"/>
  <c r="L12" i="35" s="1"/>
  <c r="M12" i="35" s="1"/>
  <c r="N12" i="35" s="1"/>
  <c r="O12" i="35" s="1"/>
  <c r="J57" i="35"/>
  <c r="I57" i="35"/>
  <c r="H57" i="35"/>
  <c r="D50" i="35"/>
  <c r="C49" i="35"/>
  <c r="I31" i="35"/>
  <c r="I33" i="35" s="1"/>
  <c r="D46" i="35" s="1"/>
  <c r="C55" i="35" s="1"/>
  <c r="I25" i="35"/>
  <c r="G18" i="35"/>
  <c r="H18" i="35" s="1"/>
  <c r="I18" i="35" s="1"/>
  <c r="J18" i="35" s="1"/>
  <c r="K18" i="35" s="1"/>
  <c r="L18" i="35" s="1"/>
  <c r="M18" i="35" s="1"/>
  <c r="N18" i="35" s="1"/>
  <c r="O18" i="35" s="1"/>
  <c r="P18" i="35" s="1"/>
  <c r="F14" i="35"/>
  <c r="F16" i="35" s="1"/>
  <c r="E14" i="35"/>
  <c r="E16" i="35" s="1"/>
  <c r="D14" i="35"/>
  <c r="D16" i="35" s="1"/>
  <c r="C14" i="35"/>
  <c r="C16" i="35" s="1"/>
  <c r="F12" i="35"/>
  <c r="E12" i="35"/>
  <c r="D12" i="35"/>
  <c r="J11" i="35" l="1"/>
  <c r="K11" i="35" s="1"/>
  <c r="L11" i="35" s="1"/>
  <c r="G17" i="35"/>
  <c r="I19" i="35"/>
  <c r="H19" i="35"/>
  <c r="G19" i="35"/>
  <c r="H17" i="35"/>
  <c r="I17" i="35" l="1"/>
  <c r="D14" i="34" l="1"/>
  <c r="E14" i="34"/>
  <c r="F14" i="34"/>
  <c r="G14" i="34"/>
  <c r="H14" i="34"/>
  <c r="I14" i="34"/>
  <c r="C14" i="34"/>
  <c r="D50" i="34" l="1"/>
  <c r="D50" i="32"/>
  <c r="G18" i="34"/>
  <c r="H18" i="34" s="1"/>
  <c r="I18" i="34" s="1"/>
  <c r="J18" i="34" s="1"/>
  <c r="K18" i="34" s="1"/>
  <c r="L18" i="34" s="1"/>
  <c r="M18" i="34" s="1"/>
  <c r="N18" i="34" s="1"/>
  <c r="O18" i="34" s="1"/>
  <c r="P18" i="34" s="1"/>
  <c r="G18" i="32"/>
  <c r="H18" i="32" s="1"/>
  <c r="I18" i="32" s="1"/>
  <c r="J18" i="32" s="1"/>
  <c r="K18" i="32" s="1"/>
  <c r="L18" i="32" s="1"/>
  <c r="M18" i="32" s="1"/>
  <c r="N18" i="32" s="1"/>
  <c r="O18" i="32" s="1"/>
  <c r="P18" i="32" s="1"/>
  <c r="G14" i="32" l="1"/>
  <c r="H14" i="32"/>
  <c r="I14" i="32"/>
  <c r="D14" i="32"/>
  <c r="E14" i="32"/>
  <c r="F14" i="32"/>
  <c r="C14" i="32"/>
  <c r="I25" i="32" l="1"/>
  <c r="I12" i="32" l="1"/>
  <c r="H12" i="34" l="1"/>
  <c r="I12" i="34"/>
  <c r="G12" i="34"/>
  <c r="E12" i="34"/>
  <c r="F12" i="34"/>
  <c r="D12" i="34"/>
  <c r="D12" i="32" l="1"/>
  <c r="E12" i="32"/>
  <c r="F12" i="32"/>
  <c r="G12" i="32"/>
  <c r="H12" i="32"/>
  <c r="C16" i="34" l="1"/>
  <c r="H16" i="34"/>
  <c r="G16" i="34"/>
  <c r="F16" i="34"/>
  <c r="E16" i="34"/>
  <c r="D16" i="34"/>
  <c r="C49" i="32"/>
  <c r="G17" i="34" l="1"/>
  <c r="H17" i="34"/>
  <c r="C49" i="34" l="1"/>
  <c r="I31" i="34"/>
  <c r="I33" i="34" s="1"/>
  <c r="D46" i="34" s="1"/>
  <c r="C55" i="34" s="1"/>
  <c r="I25" i="34"/>
  <c r="I57" i="32"/>
  <c r="I31" i="32"/>
  <c r="I33" i="32" s="1"/>
  <c r="D46" i="32" s="1"/>
  <c r="C55" i="32" s="1"/>
  <c r="C16" i="32"/>
  <c r="G19" i="32" l="1"/>
  <c r="H19" i="34"/>
  <c r="G19" i="34"/>
  <c r="H57" i="34"/>
  <c r="I57" i="34"/>
  <c r="H16" i="32"/>
  <c r="H19" i="32"/>
  <c r="H57" i="32"/>
  <c r="G16" i="32"/>
  <c r="F16" i="32" l="1"/>
  <c r="E16" i="32"/>
  <c r="D16" i="32"/>
  <c r="J57" i="32" l="1"/>
  <c r="I16" i="32"/>
  <c r="I19" i="32"/>
  <c r="J57" i="34" l="1"/>
  <c r="I16" i="34"/>
  <c r="I19" i="34"/>
  <c r="I17" i="34"/>
  <c r="H17" i="32" l="1"/>
  <c r="G17" i="32"/>
  <c r="I17" i="32" l="1"/>
  <c r="H14" i="35" l="1"/>
  <c r="H16" i="35" s="1"/>
  <c r="G14" i="35"/>
  <c r="G16" i="35" s="1"/>
  <c r="I14" i="35" l="1"/>
  <c r="I16" i="35" s="1"/>
  <c r="J14" i="35" l="1"/>
  <c r="J15" i="35" s="1"/>
  <c r="J16" i="35" l="1"/>
  <c r="K14" i="35"/>
  <c r="K15" i="35" s="1"/>
  <c r="K57" i="35" l="1"/>
  <c r="J19" i="35"/>
  <c r="J17" i="35"/>
  <c r="K17" i="35"/>
  <c r="K19" i="35"/>
  <c r="L57" i="35"/>
  <c r="M11" i="35"/>
  <c r="L14" i="35"/>
  <c r="L15" i="35" s="1"/>
  <c r="M57" i="35" l="1"/>
  <c r="L17" i="35"/>
  <c r="L19" i="35"/>
  <c r="M14" i="35"/>
  <c r="M15" i="35" s="1"/>
  <c r="N11" i="35"/>
  <c r="N14" i="35" l="1"/>
  <c r="N15" i="35" s="1"/>
  <c r="O11" i="35"/>
  <c r="M19" i="35"/>
  <c r="N57" i="35"/>
  <c r="M17" i="35"/>
  <c r="P11" i="35" l="1"/>
  <c r="O14" i="35"/>
  <c r="O15" i="35" s="1"/>
  <c r="N17" i="35"/>
  <c r="N19" i="35"/>
  <c r="O57" i="35"/>
  <c r="O17" i="35" l="1"/>
  <c r="O19" i="35"/>
  <c r="P57" i="35"/>
  <c r="Q11" i="35"/>
  <c r="Q14" i="35" s="1"/>
  <c r="Q15" i="35" s="1"/>
  <c r="P14" i="35"/>
  <c r="P15" i="35" s="1"/>
  <c r="D42" i="35" l="1"/>
  <c r="D40" i="35"/>
  <c r="D41" i="35"/>
  <c r="P19" i="35"/>
  <c r="P17" i="35"/>
  <c r="Q19" i="35"/>
  <c r="Q57" i="35"/>
  <c r="D57" i="35" s="1"/>
  <c r="D43" i="35"/>
  <c r="D44" i="35"/>
  <c r="D49" i="35" l="1"/>
  <c r="D51" i="35" s="1"/>
  <c r="D53" i="35" s="1"/>
  <c r="E62" i="35"/>
  <c r="E66" i="35"/>
  <c r="E68" i="35" s="1"/>
  <c r="D52" i="35" l="1"/>
  <c r="E70" i="35"/>
  <c r="E74" i="35" s="1"/>
  <c r="E72" i="35" l="1"/>
  <c r="J11" i="32" l="1"/>
  <c r="J14" i="32" s="1"/>
  <c r="J15" i="32" s="1"/>
  <c r="J17" i="32" l="1"/>
  <c r="J19" i="32"/>
  <c r="K57" i="32"/>
  <c r="J16" i="32"/>
  <c r="K11" i="32"/>
  <c r="K14" i="32" s="1"/>
  <c r="K15" i="32" s="1"/>
  <c r="L11" i="32" l="1"/>
  <c r="L14" i="32" s="1"/>
  <c r="L15" i="32" s="1"/>
  <c r="L19" i="32"/>
  <c r="M57" i="32"/>
  <c r="L17" i="32"/>
  <c r="K19" i="32"/>
  <c r="L57" i="32"/>
  <c r="K17" i="32"/>
  <c r="M11" i="32"/>
  <c r="N11" i="32" l="1"/>
  <c r="M14" i="32"/>
  <c r="M15" i="32" s="1"/>
  <c r="M19" i="32" l="1"/>
  <c r="N57" i="32"/>
  <c r="M17" i="32"/>
  <c r="N14" i="32"/>
  <c r="N15" i="32" s="1"/>
  <c r="O11" i="32"/>
  <c r="N19" i="32" l="1"/>
  <c r="O57" i="32"/>
  <c r="N17" i="32"/>
  <c r="O14" i="32"/>
  <c r="O15" i="32" s="1"/>
  <c r="P11" i="32"/>
  <c r="Q11" i="32" l="1"/>
  <c r="Q14" i="32" s="1"/>
  <c r="Q15" i="32" s="1"/>
  <c r="P14" i="32"/>
  <c r="P15" i="32" s="1"/>
  <c r="O19" i="32"/>
  <c r="O17" i="32"/>
  <c r="P57" i="32"/>
  <c r="D43" i="32"/>
  <c r="P17" i="32" l="1"/>
  <c r="E62" i="32" s="1"/>
  <c r="P19" i="32"/>
  <c r="D44" i="32"/>
  <c r="D41" i="32"/>
  <c r="D40" i="32"/>
  <c r="D42" i="32"/>
  <c r="Q19" i="32"/>
  <c r="D49" i="32" s="1"/>
  <c r="D51" i="32" s="1"/>
  <c r="Q57" i="32"/>
  <c r="D57" i="32" s="1"/>
  <c r="D53" i="32" l="1"/>
  <c r="D52" i="32"/>
  <c r="E66" i="32"/>
  <c r="E68" i="32" s="1"/>
  <c r="E70" i="32" l="1"/>
  <c r="E74" i="32" l="1"/>
  <c r="E72" i="32"/>
  <c r="J11" i="34"/>
  <c r="J14" i="34" l="1"/>
  <c r="J15" i="34" s="1"/>
  <c r="J19" i="34" l="1"/>
  <c r="J17" i="34"/>
  <c r="K57" i="34"/>
  <c r="J16" i="34"/>
  <c r="K11" i="34"/>
  <c r="K14" i="34" s="1"/>
  <c r="K15" i="34" s="1"/>
  <c r="K19" i="34" l="1"/>
  <c r="L57" i="34"/>
  <c r="K17" i="34"/>
  <c r="L11" i="34"/>
  <c r="L14" i="34" l="1"/>
  <c r="L15" i="34" s="1"/>
  <c r="M11" i="34"/>
  <c r="M14" i="34" l="1"/>
  <c r="M15" i="34" s="1"/>
  <c r="N11" i="34"/>
  <c r="L19" i="34"/>
  <c r="M57" i="34"/>
  <c r="L17" i="34"/>
  <c r="O11" i="34" l="1"/>
  <c r="N14" i="34"/>
  <c r="N15" i="34" s="1"/>
  <c r="M17" i="34"/>
  <c r="N57" i="34"/>
  <c r="M19" i="34"/>
  <c r="N17" i="34" l="1"/>
  <c r="O57" i="34"/>
  <c r="N19" i="34"/>
  <c r="O14" i="34"/>
  <c r="O15" i="34" s="1"/>
  <c r="P11" i="34"/>
  <c r="Q11" i="34" l="1"/>
  <c r="Q14" i="34" s="1"/>
  <c r="Q15" i="34" s="1"/>
  <c r="P14" i="34"/>
  <c r="P15" i="34" s="1"/>
  <c r="O19" i="34"/>
  <c r="P57" i="34"/>
  <c r="O17" i="34"/>
  <c r="P17" i="34" l="1"/>
  <c r="P19" i="34"/>
  <c r="D41" i="34"/>
  <c r="D40" i="34"/>
  <c r="D43" i="34"/>
  <c r="D44" i="34"/>
  <c r="D42" i="34"/>
  <c r="Q57" i="34"/>
  <c r="D57" i="34" s="1"/>
  <c r="Q19" i="34"/>
  <c r="D49" i="34" l="1"/>
  <c r="D51" i="34" s="1"/>
  <c r="E62" i="34"/>
  <c r="E66" i="34"/>
  <c r="E68" i="34" s="1"/>
  <c r="E70" i="34" l="1"/>
  <c r="E74" i="34" s="1"/>
  <c r="D52" i="34"/>
  <c r="D53" i="34"/>
  <c r="E72" i="34" l="1"/>
</calcChain>
</file>

<file path=xl/sharedStrings.xml><?xml version="1.0" encoding="utf-8"?>
<sst xmlns="http://schemas.openxmlformats.org/spreadsheetml/2006/main" count="149" uniqueCount="49">
  <si>
    <t>Bewertung</t>
  </si>
  <si>
    <t>Umsatz-Wachstum, %</t>
  </si>
  <si>
    <t>Unterbewertung</t>
  </si>
  <si>
    <t>Fairer Wert</t>
  </si>
  <si>
    <t>Umsatz</t>
  </si>
  <si>
    <t>Marktkapitalisierung, Mio.</t>
  </si>
  <si>
    <t>Verhältnis EBIT zu Konzerngewinn:</t>
  </si>
  <si>
    <t>EK Quote:</t>
  </si>
  <si>
    <t>Vereinfachter WACC:</t>
  </si>
  <si>
    <t>Schätzungen »</t>
  </si>
  <si>
    <t>Discounted Net-Profit Modell</t>
  </si>
  <si>
    <t>Anzahl Aktien gesamt, Mio.</t>
  </si>
  <si>
    <t>Abgezinster Gewinn:</t>
  </si>
  <si>
    <t xml:space="preserve">Kurs pro Aktie </t>
  </si>
  <si>
    <t>Überbewertung</t>
  </si>
  <si>
    <t>EBIT Marge, %</t>
  </si>
  <si>
    <t>EBIT</t>
  </si>
  <si>
    <t xml:space="preserve">Ausschüttungsquote </t>
  </si>
  <si>
    <t xml:space="preserve">Ausgeschüttete Gewinne </t>
  </si>
  <si>
    <t>Eigenkapitalzins</t>
  </si>
  <si>
    <t>EK-Zins</t>
  </si>
  <si>
    <t xml:space="preserve">Umsatzmultiple </t>
  </si>
  <si>
    <t>Nullzinsmarkterwartung:</t>
  </si>
  <si>
    <t>Abgezinster Gewinn in Mrd. USD:</t>
  </si>
  <si>
    <t>Eigenkapitalverzinsung</t>
  </si>
  <si>
    <t>Risikoloser Basiszins:</t>
  </si>
  <si>
    <t>rF</t>
  </si>
  <si>
    <t>Risikoprämie:</t>
  </si>
  <si>
    <t>Marktrendite:</t>
  </si>
  <si>
    <t>rM</t>
  </si>
  <si>
    <t>ß</t>
  </si>
  <si>
    <t xml:space="preserve">Eigenkapitalkosten: </t>
  </si>
  <si>
    <t>rE</t>
  </si>
  <si>
    <t xml:space="preserve">Alle Angaben in Mio. </t>
  </si>
  <si>
    <t>Keine Rundung</t>
  </si>
  <si>
    <t>Beta Faktor:</t>
  </si>
  <si>
    <t>Gewinn je Aktie</t>
  </si>
  <si>
    <t>Gewinn je Aktie multipliziert mit fiktivem KGV</t>
  </si>
  <si>
    <t>Anzahl der Aktien in Mio. diluted (geschätzt)</t>
  </si>
  <si>
    <t>Gewinn (abzgl. Steuern, Zinsen)</t>
  </si>
  <si>
    <t xml:space="preserve"> </t>
  </si>
  <si>
    <t>KGV Multiple in 2031</t>
  </si>
  <si>
    <t>Gesamtwert 2031</t>
  </si>
  <si>
    <t>Steigerung Gesamt bis 2031 in Prozent</t>
  </si>
  <si>
    <t>Renditeerwartung bis 2031 pro Jahr</t>
  </si>
  <si>
    <t>2032ff.</t>
  </si>
  <si>
    <t xml:space="preserve"> Annahmen für Cloudflare</t>
  </si>
  <si>
    <t>USD</t>
  </si>
  <si>
    <t>Quellensteuer USA (25 %)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</si>
</sst>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;@"/>
    <numFmt numFmtId="165" formatCode="0.0%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20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2F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33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7" fillId="2" borderId="0" xfId="0" applyFont="1" applyFill="1"/>
    <xf numFmtId="0" fontId="0" fillId="3" borderId="0" xfId="0" applyFill="1"/>
    <xf numFmtId="0" fontId="5" fillId="3" borderId="0" xfId="0" applyFont="1" applyFill="1" applyAlignment="1">
      <alignment vertical="center" wrapText="1"/>
    </xf>
    <xf numFmtId="0" fontId="9" fillId="2" borderId="0" xfId="0" applyFont="1" applyFill="1"/>
    <xf numFmtId="9" fontId="9" fillId="2" borderId="0" xfId="1" applyFont="1" applyFill="1"/>
    <xf numFmtId="0" fontId="0" fillId="4" borderId="0" xfId="0" applyFill="1"/>
    <xf numFmtId="0" fontId="5" fillId="4" borderId="0" xfId="0" applyFont="1" applyFill="1"/>
    <xf numFmtId="0" fontId="4" fillId="4" borderId="0" xfId="0" applyFont="1" applyFill="1"/>
    <xf numFmtId="0" fontId="5" fillId="5" borderId="0" xfId="0" applyFont="1" applyFill="1"/>
    <xf numFmtId="165" fontId="3" fillId="7" borderId="0" xfId="1" applyNumberFormat="1" applyFont="1" applyFill="1"/>
    <xf numFmtId="0" fontId="0" fillId="2" borderId="1" xfId="0" applyFill="1" applyBorder="1" applyAlignment="1">
      <alignment wrapText="1"/>
    </xf>
    <xf numFmtId="0" fontId="8" fillId="2" borderId="2" xfId="0" applyFont="1" applyFill="1" applyBorder="1"/>
    <xf numFmtId="9" fontId="0" fillId="2" borderId="3" xfId="1" applyFont="1" applyFill="1" applyBorder="1"/>
    <xf numFmtId="0" fontId="0" fillId="6" borderId="0" xfId="0" applyFill="1" applyAlignment="1">
      <alignment wrapText="1"/>
    </xf>
    <xf numFmtId="0" fontId="0" fillId="6" borderId="0" xfId="0" applyFill="1"/>
    <xf numFmtId="0" fontId="5" fillId="6" borderId="0" xfId="0" applyFont="1" applyFill="1" applyAlignment="1">
      <alignment horizontal="right"/>
    </xf>
    <xf numFmtId="0" fontId="7" fillId="6" borderId="0" xfId="0" applyFont="1" applyFill="1"/>
    <xf numFmtId="0" fontId="10" fillId="6" borderId="0" xfId="0" applyFont="1" applyFill="1"/>
    <xf numFmtId="4" fontId="5" fillId="6" borderId="0" xfId="0" applyNumberFormat="1" applyFont="1" applyFill="1"/>
    <xf numFmtId="0" fontId="5" fillId="2" borderId="0" xfId="0" applyFont="1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10" fontId="0" fillId="2" borderId="0" xfId="0" applyNumberFormat="1" applyFill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11" fillId="2" borderId="0" xfId="0" applyFont="1" applyFill="1"/>
    <xf numFmtId="4" fontId="5" fillId="2" borderId="4" xfId="0" applyNumberFormat="1" applyFont="1" applyFill="1" applyBorder="1"/>
    <xf numFmtId="4" fontId="0" fillId="2" borderId="5" xfId="0" applyNumberFormat="1" applyFill="1" applyBorder="1"/>
    <xf numFmtId="3" fontId="0" fillId="2" borderId="5" xfId="0" applyNumberFormat="1" applyFill="1" applyBorder="1"/>
    <xf numFmtId="4" fontId="0" fillId="2" borderId="7" xfId="0" applyNumberFormat="1" applyFill="1" applyBorder="1"/>
    <xf numFmtId="4" fontId="0" fillId="2" borderId="0" xfId="0" applyNumberFormat="1" applyFill="1"/>
    <xf numFmtId="3" fontId="0" fillId="2" borderId="0" xfId="0" applyNumberFormat="1" applyFill="1"/>
    <xf numFmtId="165" fontId="3" fillId="2" borderId="0" xfId="1" applyNumberFormat="1" applyFont="1" applyFill="1" applyBorder="1"/>
    <xf numFmtId="3" fontId="5" fillId="2" borderId="0" xfId="0" applyNumberFormat="1" applyFont="1" applyFill="1"/>
    <xf numFmtId="165" fontId="5" fillId="2" borderId="0" xfId="1" applyNumberFormat="1" applyFont="1" applyFill="1" applyBorder="1"/>
    <xf numFmtId="9" fontId="0" fillId="2" borderId="0" xfId="1" applyFont="1" applyFill="1" applyBorder="1"/>
    <xf numFmtId="9" fontId="0" fillId="2" borderId="0" xfId="0" applyNumberFormat="1" applyFill="1"/>
    <xf numFmtId="9" fontId="5" fillId="2" borderId="0" xfId="0" applyNumberFormat="1" applyFont="1" applyFill="1"/>
    <xf numFmtId="10" fontId="5" fillId="2" borderId="10" xfId="0" applyNumberFormat="1" applyFont="1" applyFill="1" applyBorder="1"/>
    <xf numFmtId="0" fontId="5" fillId="8" borderId="0" xfId="0" applyFont="1" applyFill="1" applyAlignment="1">
      <alignment vertical="center" wrapText="1"/>
    </xf>
    <xf numFmtId="0" fontId="0" fillId="8" borderId="0" xfId="0" applyFill="1"/>
    <xf numFmtId="4" fontId="9" fillId="8" borderId="0" xfId="0" applyNumberFormat="1" applyFont="1" applyFill="1"/>
    <xf numFmtId="0" fontId="5" fillId="8" borderId="0" xfId="0" applyFont="1" applyFill="1"/>
    <xf numFmtId="1" fontId="3" fillId="8" borderId="0" xfId="1" applyNumberFormat="1" applyFont="1" applyFill="1"/>
    <xf numFmtId="10" fontId="5" fillId="8" borderId="0" xfId="1" applyNumberFormat="1" applyFont="1" applyFill="1"/>
    <xf numFmtId="0" fontId="0" fillId="2" borderId="1" xfId="0" applyFill="1" applyBorder="1"/>
    <xf numFmtId="0" fontId="9" fillId="2" borderId="2" xfId="0" applyFont="1" applyFill="1" applyBorder="1"/>
    <xf numFmtId="2" fontId="7" fillId="2" borderId="2" xfId="0" applyNumberFormat="1" applyFont="1" applyFill="1" applyBorder="1"/>
    <xf numFmtId="2" fontId="7" fillId="2" borderId="3" xfId="0" applyNumberFormat="1" applyFont="1" applyFill="1" applyBorder="1"/>
    <xf numFmtId="0" fontId="10" fillId="7" borderId="0" xfId="0" applyFont="1" applyFill="1" applyAlignment="1">
      <alignment horizontal="right" vertical="center"/>
    </xf>
    <xf numFmtId="4" fontId="0" fillId="8" borderId="0" xfId="0" applyNumberFormat="1" applyFill="1"/>
    <xf numFmtId="9" fontId="0" fillId="9" borderId="0" xfId="1" applyFont="1" applyFill="1"/>
    <xf numFmtId="9" fontId="5" fillId="8" borderId="0" xfId="1" applyFont="1" applyFill="1"/>
    <xf numFmtId="0" fontId="0" fillId="2" borderId="4" xfId="0" applyFill="1" applyBorder="1"/>
    <xf numFmtId="4" fontId="0" fillId="2" borderId="8" xfId="0" applyNumberFormat="1" applyFill="1" applyBorder="1"/>
    <xf numFmtId="3" fontId="6" fillId="2" borderId="8" xfId="0" quotePrefix="1" applyNumberFormat="1" applyFont="1" applyFill="1" applyBorder="1"/>
    <xf numFmtId="10" fontId="0" fillId="2" borderId="7" xfId="0" applyNumberFormat="1" applyFill="1" applyBorder="1"/>
    <xf numFmtId="4" fontId="12" fillId="2" borderId="8" xfId="0" quotePrefix="1" applyNumberFormat="1" applyFont="1" applyFill="1" applyBorder="1"/>
    <xf numFmtId="9" fontId="0" fillId="2" borderId="8" xfId="1" applyFont="1" applyFill="1" applyBorder="1"/>
    <xf numFmtId="0" fontId="0" fillId="10" borderId="9" xfId="0" applyFill="1" applyBorder="1"/>
    <xf numFmtId="0" fontId="0" fillId="10" borderId="10" xfId="0" applyFill="1" applyBorder="1"/>
    <xf numFmtId="10" fontId="5" fillId="2" borderId="0" xfId="1" applyNumberFormat="1" applyFont="1" applyFill="1"/>
    <xf numFmtId="1" fontId="3" fillId="2" borderId="0" xfId="1" applyNumberFormat="1" applyFont="1" applyFill="1"/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9" fontId="0" fillId="2" borderId="0" xfId="0" applyNumberFormat="1" applyFill="1" applyAlignment="1">
      <alignment horizontal="center"/>
    </xf>
    <xf numFmtId="9" fontId="0" fillId="2" borderId="0" xfId="1" applyFont="1" applyFill="1"/>
    <xf numFmtId="165" fontId="0" fillId="7" borderId="0" xfId="1" applyNumberFormat="1" applyFont="1" applyFill="1"/>
    <xf numFmtId="4" fontId="0" fillId="7" borderId="0" xfId="0" applyNumberFormat="1" applyFill="1"/>
    <xf numFmtId="10" fontId="0" fillId="8" borderId="0" xfId="0" applyNumberFormat="1" applyFill="1"/>
    <xf numFmtId="4" fontId="3" fillId="8" borderId="0" xfId="1" applyNumberFormat="1" applyFont="1" applyFill="1"/>
    <xf numFmtId="0" fontId="0" fillId="2" borderId="0" xfId="0" quotePrefix="1" applyFill="1"/>
    <xf numFmtId="0" fontId="5" fillId="2" borderId="7" xfId="0" applyFont="1" applyFill="1" applyBorder="1"/>
    <xf numFmtId="10" fontId="5" fillId="2" borderId="0" xfId="0" applyNumberFormat="1" applyFont="1" applyFill="1"/>
    <xf numFmtId="10" fontId="0" fillId="2" borderId="5" xfId="0" applyNumberFormat="1" applyFill="1" applyBorder="1" applyAlignment="1">
      <alignment horizontal="right"/>
    </xf>
    <xf numFmtId="0" fontId="0" fillId="2" borderId="0" xfId="0" applyFill="1" applyAlignment="1">
      <alignment horizontal="right"/>
    </xf>
    <xf numFmtId="10" fontId="0" fillId="2" borderId="0" xfId="1" applyNumberFormat="1" applyFont="1" applyFill="1" applyBorder="1" applyAlignment="1">
      <alignment horizontal="right"/>
    </xf>
    <xf numFmtId="10" fontId="0" fillId="2" borderId="0" xfId="0" applyNumberFormat="1" applyFill="1" applyAlignment="1">
      <alignment horizontal="right"/>
    </xf>
    <xf numFmtId="4" fontId="9" fillId="5" borderId="0" xfId="0" applyNumberFormat="1" applyFont="1" applyFill="1"/>
    <xf numFmtId="164" fontId="10" fillId="6" borderId="0" xfId="0" applyNumberFormat="1" applyFont="1" applyFill="1"/>
    <xf numFmtId="10" fontId="0" fillId="7" borderId="0" xfId="1" applyNumberFormat="1" applyFont="1" applyFill="1"/>
    <xf numFmtId="165" fontId="9" fillId="7" borderId="0" xfId="1" applyNumberFormat="1" applyFont="1" applyFill="1"/>
    <xf numFmtId="9" fontId="9" fillId="5" borderId="0" xfId="1" applyFont="1" applyFill="1"/>
    <xf numFmtId="2" fontId="0" fillId="8" borderId="0" xfId="0" applyNumberFormat="1" applyFill="1"/>
    <xf numFmtId="10" fontId="9" fillId="5" borderId="0" xfId="1" applyNumberFormat="1" applyFont="1" applyFill="1"/>
    <xf numFmtId="165" fontId="9" fillId="5" borderId="0" xfId="1" applyNumberFormat="1" applyFont="1" applyFill="1"/>
    <xf numFmtId="0" fontId="9" fillId="2" borderId="4" xfId="0" applyFont="1" applyFill="1" applyBorder="1"/>
    <xf numFmtId="0" fontId="9" fillId="2" borderId="5" xfId="0" applyFont="1" applyFill="1" applyBorder="1"/>
    <xf numFmtId="10" fontId="9" fillId="2" borderId="5" xfId="0" applyNumberFormat="1" applyFont="1" applyFill="1" applyBorder="1" applyAlignment="1">
      <alignment horizontal="right"/>
    </xf>
    <xf numFmtId="0" fontId="9" fillId="2" borderId="7" xfId="0" applyFont="1" applyFill="1" applyBorder="1"/>
    <xf numFmtId="0" fontId="9" fillId="2" borderId="0" xfId="0" applyFont="1" applyFill="1" applyAlignment="1">
      <alignment horizontal="right"/>
    </xf>
    <xf numFmtId="10" fontId="9" fillId="2" borderId="0" xfId="1" applyNumberFormat="1" applyFont="1" applyFill="1" applyBorder="1" applyAlignment="1">
      <alignment horizontal="right"/>
    </xf>
    <xf numFmtId="10" fontId="9" fillId="2" borderId="0" xfId="0" applyNumberFormat="1" applyFont="1" applyFill="1" applyAlignment="1">
      <alignment horizontal="right"/>
    </xf>
    <xf numFmtId="0" fontId="10" fillId="2" borderId="7" xfId="0" applyFont="1" applyFill="1" applyBorder="1"/>
    <xf numFmtId="0" fontId="10" fillId="2" borderId="0" xfId="0" applyFont="1" applyFill="1"/>
    <xf numFmtId="10" fontId="10" fillId="2" borderId="0" xfId="0" applyNumberFormat="1" applyFont="1" applyFill="1"/>
    <xf numFmtId="9" fontId="9" fillId="6" borderId="0" xfId="1" applyFont="1" applyFill="1"/>
    <xf numFmtId="10" fontId="0" fillId="2" borderId="0" xfId="1" applyNumberFormat="1" applyFont="1" applyFill="1"/>
    <xf numFmtId="10" fontId="0" fillId="10" borderId="10" xfId="1" applyNumberFormat="1" applyFont="1" applyFill="1" applyBorder="1"/>
    <xf numFmtId="0" fontId="0" fillId="11" borderId="9" xfId="0" applyFill="1" applyBorder="1"/>
    <xf numFmtId="0" fontId="0" fillId="11" borderId="10" xfId="0" applyFill="1" applyBorder="1"/>
    <xf numFmtId="10" fontId="0" fillId="11" borderId="10" xfId="1" applyNumberFormat="1" applyFont="1" applyFill="1" applyBorder="1"/>
  </cellXfs>
  <cellStyles count="7">
    <cellStyle name="Prozent" xfId="1" builtinId="5"/>
    <cellStyle name="Prozent 2" xfId="2" xr:uid="{00000000-0005-0000-0000-000001000000}"/>
    <cellStyle name="Prozent 3" xfId="4" xr:uid="{00000000-0005-0000-0000-000002000000}"/>
    <cellStyle name="Prozent 4" xfId="6" xr:uid="{DE5E001C-AEE3-45AD-B913-D01465EAAE5D}"/>
    <cellStyle name="Standard" xfId="0" builtinId="0"/>
    <cellStyle name="Standard 2" xfId="3" xr:uid="{00000000-0005-0000-0000-000004000000}"/>
    <cellStyle name="Standard 3" xfId="5" xr:uid="{D21CDE20-7D2B-4947-8C50-96BDB9D63654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  <color rgb="FFFF7A5F"/>
      <color rgb="FFCC99FF"/>
      <color rgb="FFFFCC99"/>
      <color rgb="FFFFCC66"/>
      <color rgb="FFFFEB7D"/>
      <color rgb="FF009900"/>
      <color rgb="FFCCCCFF"/>
      <color rgb="FF9966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148166</xdr:colOff>
      <xdr:row>22</xdr:row>
      <xdr:rowOff>84666</xdr:rowOff>
    </xdr:from>
    <xdr:to>
      <xdr:col>13</xdr:col>
      <xdr:colOff>15507</xdr:colOff>
      <xdr:row>29</xdr:row>
      <xdr:rowOff>73441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480E8E9-90E0-4C71-8FA2-90316083A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64091" y="4656666"/>
          <a:ext cx="3582091" cy="13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148166</xdr:colOff>
      <xdr:row>22</xdr:row>
      <xdr:rowOff>84666</xdr:rowOff>
    </xdr:from>
    <xdr:to>
      <xdr:col>13</xdr:col>
      <xdr:colOff>29795</xdr:colOff>
      <xdr:row>29</xdr:row>
      <xdr:rowOff>73441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4A3B2B-061E-42EB-AB1A-BED6F37A5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88066" y="4656666"/>
          <a:ext cx="3596379" cy="138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148166</xdr:colOff>
      <xdr:row>22</xdr:row>
      <xdr:rowOff>84666</xdr:rowOff>
    </xdr:from>
    <xdr:to>
      <xdr:col>13</xdr:col>
      <xdr:colOff>29795</xdr:colOff>
      <xdr:row>29</xdr:row>
      <xdr:rowOff>73441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ED6B0C2-47F7-4639-9157-E9F95B4B4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88066" y="4656666"/>
          <a:ext cx="3596379" cy="13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0EB64-3C98-49AD-AFA7-32CB9200B01E}">
  <dimension ref="A2:AB74"/>
  <sheetViews>
    <sheetView tabSelected="1" zoomScaleNormal="100" workbookViewId="0">
      <selection activeCell="C51" sqref="C51"/>
    </sheetView>
  </sheetViews>
  <sheetFormatPr baseColWidth="10" defaultColWidth="10.625" defaultRowHeight="15.75" x14ac:dyDescent="0.25"/>
  <cols>
    <col min="1" max="1" width="27.125" style="1" bestFit="1" customWidth="1"/>
    <col min="2" max="2" width="32.375" style="1" customWidth="1"/>
    <col min="3" max="17" width="16.25" style="1" customWidth="1"/>
    <col min="18" max="18" width="10.625" style="1" customWidth="1"/>
    <col min="19" max="16384" width="10.625" style="1"/>
  </cols>
  <sheetData>
    <row r="2" spans="1:28" ht="26.25" x14ac:dyDescent="0.4">
      <c r="B2" s="31" t="s">
        <v>10</v>
      </c>
    </row>
    <row r="4" spans="1:28" x14ac:dyDescent="0.25">
      <c r="B4" s="22" t="s">
        <v>46</v>
      </c>
    </row>
    <row r="6" spans="1:28" x14ac:dyDescent="0.25">
      <c r="B6" s="1" t="s">
        <v>33</v>
      </c>
    </row>
    <row r="9" spans="1:28" s="8" customFormat="1" x14ac:dyDescent="0.25">
      <c r="G9" s="9" t="s">
        <v>9</v>
      </c>
      <c r="H9" s="10"/>
      <c r="I9" s="10"/>
      <c r="J9" s="10"/>
      <c r="K9" s="10"/>
      <c r="L9" s="10"/>
      <c r="M9" s="10"/>
      <c r="N9" s="10"/>
      <c r="O9" s="10"/>
      <c r="P9" s="10"/>
      <c r="Q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x14ac:dyDescent="0.25">
      <c r="A10" s="4"/>
      <c r="B10" s="4"/>
      <c r="C10" s="11">
        <v>2018</v>
      </c>
      <c r="D10" s="11">
        <v>2019</v>
      </c>
      <c r="E10" s="11">
        <v>2020</v>
      </c>
      <c r="F10" s="11">
        <v>2021</v>
      </c>
      <c r="G10" s="55">
        <v>2022</v>
      </c>
      <c r="H10" s="55">
        <v>2023</v>
      </c>
      <c r="I10" s="55">
        <v>2024</v>
      </c>
      <c r="J10" s="55">
        <v>2025</v>
      </c>
      <c r="K10" s="55">
        <v>2026</v>
      </c>
      <c r="L10" s="55">
        <v>2027</v>
      </c>
      <c r="M10" s="55">
        <v>2028</v>
      </c>
      <c r="N10" s="55">
        <v>2029</v>
      </c>
      <c r="O10" s="55">
        <v>2030</v>
      </c>
      <c r="P10" s="55">
        <v>2031</v>
      </c>
      <c r="Q10" s="55" t="s">
        <v>45</v>
      </c>
    </row>
    <row r="11" spans="1:28" x14ac:dyDescent="0.25">
      <c r="A11" s="5"/>
      <c r="B11" s="4" t="s">
        <v>4</v>
      </c>
      <c r="C11" s="84">
        <v>192.67400000000001</v>
      </c>
      <c r="D11" s="84">
        <v>287.02199999999999</v>
      </c>
      <c r="E11" s="84">
        <v>431.05900000000003</v>
      </c>
      <c r="F11" s="84">
        <v>656.42600000000004</v>
      </c>
      <c r="G11" s="74">
        <v>974.46</v>
      </c>
      <c r="H11" s="74">
        <v>1313.48</v>
      </c>
      <c r="I11" s="74">
        <v>1746.93</v>
      </c>
      <c r="J11" s="74">
        <f t="shared" ref="J11" si="0">I11*(1+J12)</f>
        <v>2445.7019999999998</v>
      </c>
      <c r="K11" s="74">
        <f t="shared" ref="K11" si="1">J11*(1+K12)</f>
        <v>3179.4125999999997</v>
      </c>
      <c r="L11" s="74">
        <f t="shared" ref="L11:Q11" si="2">K11*(1+L12)</f>
        <v>4292.2070100000001</v>
      </c>
      <c r="M11" s="74">
        <f t="shared" si="2"/>
        <v>5150.6484119999996</v>
      </c>
      <c r="N11" s="74">
        <f t="shared" si="2"/>
        <v>5923.2456737999992</v>
      </c>
      <c r="O11" s="74">
        <f t="shared" si="2"/>
        <v>6337.872870965999</v>
      </c>
      <c r="P11" s="74">
        <f t="shared" si="2"/>
        <v>6496.3196927401486</v>
      </c>
      <c r="Q11" s="74">
        <f t="shared" si="2"/>
        <v>6593.7644881312499</v>
      </c>
    </row>
    <row r="12" spans="1:28" x14ac:dyDescent="0.25">
      <c r="A12" s="5"/>
      <c r="B12" s="4" t="s">
        <v>1</v>
      </c>
      <c r="C12" s="88"/>
      <c r="D12" s="91">
        <f t="shared" ref="D12:I12" si="3">D11/C11-1</f>
        <v>0.48967686351038542</v>
      </c>
      <c r="E12" s="91">
        <f t="shared" si="3"/>
        <v>0.50183261213426156</v>
      </c>
      <c r="F12" s="91">
        <f t="shared" si="3"/>
        <v>0.52282170190159594</v>
      </c>
      <c r="G12" s="87">
        <f t="shared" si="3"/>
        <v>0.48449330160596915</v>
      </c>
      <c r="H12" s="87">
        <f t="shared" si="3"/>
        <v>0.34790550663957465</v>
      </c>
      <c r="I12" s="87">
        <f t="shared" si="3"/>
        <v>0.33000121813807604</v>
      </c>
      <c r="J12" s="87">
        <v>0.4</v>
      </c>
      <c r="K12" s="87">
        <v>0.3</v>
      </c>
      <c r="L12" s="73">
        <v>0.35</v>
      </c>
      <c r="M12" s="73">
        <v>0.2</v>
      </c>
      <c r="N12" s="73">
        <v>0.15</v>
      </c>
      <c r="O12" s="73">
        <v>7.0000000000000007E-2</v>
      </c>
      <c r="P12" s="73">
        <v>2.5000000000000001E-2</v>
      </c>
      <c r="Q12" s="12">
        <v>1.4999999999999999E-2</v>
      </c>
    </row>
    <row r="13" spans="1:28" ht="15.95" customHeight="1" x14ac:dyDescent="0.25">
      <c r="A13" s="5"/>
      <c r="B13" s="4" t="s">
        <v>15</v>
      </c>
      <c r="C13" s="90">
        <v>-0.29601814463809334</v>
      </c>
      <c r="D13" s="90">
        <v>-0.24804370396694331</v>
      </c>
      <c r="E13" s="90">
        <v>-7.862496781183087E-2</v>
      </c>
      <c r="F13" s="90">
        <v>-1.0700368358352655E-2</v>
      </c>
      <c r="G13" s="86">
        <v>3.1600000000000003E-2</v>
      </c>
      <c r="H13" s="86">
        <v>3.5999999999999997E-2</v>
      </c>
      <c r="I13" s="86">
        <v>4.6100000000000002E-2</v>
      </c>
      <c r="J13" s="86">
        <v>7.1900000000000006E-2</v>
      </c>
      <c r="K13" s="86">
        <v>7.7100000000000002E-2</v>
      </c>
      <c r="L13" s="86">
        <v>8.5000000000000006E-2</v>
      </c>
      <c r="M13" s="86">
        <v>0.1</v>
      </c>
      <c r="N13" s="86">
        <v>0.115</v>
      </c>
      <c r="O13" s="86">
        <v>0.13</v>
      </c>
      <c r="P13" s="86">
        <v>0.14000000000000001</v>
      </c>
      <c r="Q13" s="86">
        <v>0.14000000000000001</v>
      </c>
    </row>
    <row r="14" spans="1:28" ht="17.100000000000001" customHeight="1" x14ac:dyDescent="0.25">
      <c r="A14" s="5"/>
      <c r="B14" s="4" t="s">
        <v>16</v>
      </c>
      <c r="C14" s="84">
        <f>C11*C13</f>
        <v>-57.034999999999997</v>
      </c>
      <c r="D14" s="84">
        <f t="shared" ref="D14:I14" si="4">D11*D13</f>
        <v>-71.194000000000003</v>
      </c>
      <c r="E14" s="84">
        <f t="shared" si="4"/>
        <v>-33.892000000000003</v>
      </c>
      <c r="F14" s="84">
        <f t="shared" si="4"/>
        <v>-7.024</v>
      </c>
      <c r="G14" s="74">
        <f t="shared" si="4"/>
        <v>30.792936000000005</v>
      </c>
      <c r="H14" s="74">
        <f t="shared" si="4"/>
        <v>47.28528</v>
      </c>
      <c r="I14" s="74">
        <f t="shared" si="4"/>
        <v>80.533473000000001</v>
      </c>
      <c r="J14" s="74">
        <f>J11*J13</f>
        <v>175.8459738</v>
      </c>
      <c r="K14" s="74">
        <f t="shared" ref="K14:Q14" si="5">K11*K13</f>
        <v>245.13271145999997</v>
      </c>
      <c r="L14" s="74">
        <f t="shared" si="5"/>
        <v>364.83759585000001</v>
      </c>
      <c r="M14" s="74">
        <f t="shared" si="5"/>
        <v>515.06484119999993</v>
      </c>
      <c r="N14" s="74">
        <f t="shared" si="5"/>
        <v>681.1732524869999</v>
      </c>
      <c r="O14" s="74">
        <f t="shared" si="5"/>
        <v>823.92347322557987</v>
      </c>
      <c r="P14" s="74">
        <f t="shared" si="5"/>
        <v>909.48475698362085</v>
      </c>
      <c r="Q14" s="74">
        <f t="shared" si="5"/>
        <v>923.12702833837511</v>
      </c>
    </row>
    <row r="15" spans="1:28" x14ac:dyDescent="0.25">
      <c r="A15" s="102">
        <v>0.25</v>
      </c>
      <c r="B15" s="4" t="s">
        <v>39</v>
      </c>
      <c r="C15" s="84">
        <v>-9.7149999999999999</v>
      </c>
      <c r="D15" s="84">
        <v>-87.164000000000001</v>
      </c>
      <c r="E15" s="84">
        <v>-105.828</v>
      </c>
      <c r="F15" s="84">
        <v>-119.37</v>
      </c>
      <c r="G15" s="74">
        <v>-197.81538000000003</v>
      </c>
      <c r="H15" s="74">
        <v>-216.72420000000002</v>
      </c>
      <c r="I15" s="74">
        <v>-227.10090000000002</v>
      </c>
      <c r="J15" s="74">
        <f t="shared" ref="J15:Q15" si="6">J14*(1-$A$15)</f>
        <v>131.88448034999999</v>
      </c>
      <c r="K15" s="74">
        <f t="shared" si="6"/>
        <v>183.84953359499997</v>
      </c>
      <c r="L15" s="74">
        <f t="shared" si="6"/>
        <v>273.6281968875</v>
      </c>
      <c r="M15" s="74">
        <f t="shared" si="6"/>
        <v>386.29863089999992</v>
      </c>
      <c r="N15" s="74">
        <f t="shared" si="6"/>
        <v>510.87993936524992</v>
      </c>
      <c r="O15" s="74">
        <f t="shared" si="6"/>
        <v>617.94260491918487</v>
      </c>
      <c r="P15" s="74">
        <f t="shared" si="6"/>
        <v>682.11356773771558</v>
      </c>
      <c r="Q15" s="74">
        <f t="shared" si="6"/>
        <v>692.34527125378133</v>
      </c>
    </row>
    <row r="16" spans="1:28" ht="32.25" hidden="1" thickBot="1" x14ac:dyDescent="0.3">
      <c r="A16" s="13" t="s">
        <v>6</v>
      </c>
      <c r="B16" s="14"/>
      <c r="C16" s="15">
        <f t="shared" ref="C16:J16" si="7">C15/C14</f>
        <v>0.17033400543525906</v>
      </c>
      <c r="D16" s="15">
        <f t="shared" si="7"/>
        <v>1.224316655897969</v>
      </c>
      <c r="E16" s="15">
        <f t="shared" si="7"/>
        <v>3.1225067862622446</v>
      </c>
      <c r="F16" s="15">
        <f t="shared" si="7"/>
        <v>16.994589977220958</v>
      </c>
      <c r="G16" s="15">
        <f t="shared" si="7"/>
        <v>-6.4240506329113929</v>
      </c>
      <c r="H16" s="15">
        <f t="shared" si="7"/>
        <v>-4.5833333333333339</v>
      </c>
      <c r="I16" s="15">
        <f t="shared" si="7"/>
        <v>-2.8199566160520608</v>
      </c>
      <c r="J16" s="15">
        <f t="shared" si="7"/>
        <v>0.75</v>
      </c>
    </row>
    <row r="17" spans="1:18" x14ac:dyDescent="0.25">
      <c r="A17" s="2" t="s">
        <v>36</v>
      </c>
      <c r="C17" s="84"/>
      <c r="D17" s="84"/>
      <c r="E17" s="84"/>
      <c r="F17" s="84"/>
      <c r="G17" s="74">
        <f>G15/G18</f>
        <v>-0.61590959473933304</v>
      </c>
      <c r="H17" s="74">
        <f t="shared" ref="H17:P17" si="8">H15/H18</f>
        <v>-0.67478329638578238</v>
      </c>
      <c r="I17" s="74">
        <f t="shared" si="8"/>
        <v>-0.70709175031758298</v>
      </c>
      <c r="J17" s="74">
        <f t="shared" si="8"/>
        <v>0.41062993607866088</v>
      </c>
      <c r="K17" s="74">
        <f t="shared" si="8"/>
        <v>0.57242612646959912</v>
      </c>
      <c r="L17" s="74">
        <f t="shared" si="8"/>
        <v>0.8519571726638977</v>
      </c>
      <c r="M17" s="74">
        <f t="shared" si="8"/>
        <v>1.2027630672902083</v>
      </c>
      <c r="N17" s="74">
        <f t="shared" si="8"/>
        <v>1.5906541564913006</v>
      </c>
      <c r="O17" s="74">
        <f t="shared" si="8"/>
        <v>1.9239999405907817</v>
      </c>
      <c r="P17" s="74">
        <f t="shared" si="8"/>
        <v>2.1237999344213629</v>
      </c>
      <c r="Q17" s="74"/>
    </row>
    <row r="18" spans="1:18" ht="32.25" thickBot="1" x14ac:dyDescent="0.3">
      <c r="A18" s="2" t="s">
        <v>38</v>
      </c>
      <c r="C18" s="84"/>
      <c r="D18" s="84"/>
      <c r="E18" s="84"/>
      <c r="F18" s="84"/>
      <c r="G18" s="74">
        <f>C50</f>
        <v>321.17599999999999</v>
      </c>
      <c r="H18" s="74">
        <f>G18*1</f>
        <v>321.17599999999999</v>
      </c>
      <c r="I18" s="74">
        <f t="shared" ref="I18:P18" si="9">H18*1</f>
        <v>321.17599999999999</v>
      </c>
      <c r="J18" s="74">
        <f t="shared" si="9"/>
        <v>321.17599999999999</v>
      </c>
      <c r="K18" s="74">
        <f t="shared" si="9"/>
        <v>321.17599999999999</v>
      </c>
      <c r="L18" s="74">
        <f t="shared" si="9"/>
        <v>321.17599999999999</v>
      </c>
      <c r="M18" s="74">
        <f t="shared" si="9"/>
        <v>321.17599999999999</v>
      </c>
      <c r="N18" s="74">
        <f t="shared" si="9"/>
        <v>321.17599999999999</v>
      </c>
      <c r="O18" s="74">
        <f t="shared" si="9"/>
        <v>321.17599999999999</v>
      </c>
      <c r="P18" s="74">
        <f t="shared" si="9"/>
        <v>321.17599999999999</v>
      </c>
      <c r="Q18" s="74"/>
    </row>
    <row r="19" spans="1:18" ht="16.5" thickBot="1" x14ac:dyDescent="0.3">
      <c r="A19" s="2"/>
      <c r="E19" s="51" t="s">
        <v>12</v>
      </c>
      <c r="F19" s="52"/>
      <c r="G19" s="53">
        <f>G15/(1+$C$55)</f>
        <v>-179.95486013190813</v>
      </c>
      <c r="H19" s="53">
        <f>H15/(1+$C$55)^2</f>
        <v>-179.35540126005444</v>
      </c>
      <c r="I19" s="53">
        <f>I15/(1+$C$55)^3</f>
        <v>-170.97374810768807</v>
      </c>
      <c r="J19" s="53">
        <f>J15/(1+$C$55)^4</f>
        <v>90.324963617780696</v>
      </c>
      <c r="K19" s="53">
        <f>K15/(1+$C$55)^5</f>
        <v>114.54606144612012</v>
      </c>
      <c r="L19" s="53">
        <f>L15/(1+$C$55)^6</f>
        <v>155.08935966471992</v>
      </c>
      <c r="M19" s="53">
        <f>M15/(1+$C$55)^7</f>
        <v>199.18097269278664</v>
      </c>
      <c r="N19" s="53">
        <f>N15/(1+$C$55)^8</f>
        <v>239.63323755852656</v>
      </c>
      <c r="O19" s="53">
        <f>O15/(1+$C$55)^9</f>
        <v>263.68162754756537</v>
      </c>
      <c r="P19" s="53">
        <f>P15/(1+$C$55)^10</f>
        <v>264.78412591155245</v>
      </c>
      <c r="Q19" s="54">
        <f>(Q15/(C55-Q12))/(1+C55)^10</f>
        <v>3189.9808640976348</v>
      </c>
    </row>
    <row r="20" spans="1:18" x14ac:dyDescent="0.25">
      <c r="A20" s="2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6"/>
      <c r="P20" s="3"/>
      <c r="Q20" s="3"/>
      <c r="R20" s="3"/>
    </row>
    <row r="21" spans="1:18" x14ac:dyDescent="0.25">
      <c r="A21" s="2"/>
      <c r="J21" s="103"/>
      <c r="K21" s="103"/>
      <c r="L21" s="103"/>
      <c r="M21" s="103"/>
      <c r="N21" s="103"/>
      <c r="O21" s="103"/>
      <c r="P21" s="103"/>
      <c r="Q21" s="103"/>
      <c r="R21" s="3"/>
    </row>
    <row r="22" spans="1:18" ht="16.5" thickBot="1" x14ac:dyDescent="0.3">
      <c r="P22" s="3"/>
      <c r="Q22" s="3"/>
      <c r="R22" s="3"/>
    </row>
    <row r="23" spans="1:18" x14ac:dyDescent="0.25">
      <c r="A23" s="32" t="s">
        <v>24</v>
      </c>
      <c r="B23" s="33"/>
      <c r="C23" s="33"/>
      <c r="D23" s="34"/>
      <c r="E23" s="23"/>
      <c r="F23" s="33"/>
      <c r="G23" s="92" t="s">
        <v>25</v>
      </c>
      <c r="H23" s="93"/>
      <c r="I23" s="94">
        <v>3.7499999999999999E-2</v>
      </c>
      <c r="J23" s="24" t="s">
        <v>26</v>
      </c>
    </row>
    <row r="24" spans="1:18" x14ac:dyDescent="0.25">
      <c r="A24" s="35"/>
      <c r="B24" s="36"/>
      <c r="C24" s="36"/>
      <c r="D24" s="37"/>
      <c r="E24" s="36"/>
      <c r="F24" s="36"/>
      <c r="G24" s="95"/>
      <c r="H24" s="6"/>
      <c r="I24" s="96"/>
      <c r="J24" s="26"/>
    </row>
    <row r="25" spans="1:18" x14ac:dyDescent="0.25">
      <c r="A25" s="35"/>
      <c r="B25" s="36"/>
      <c r="C25" s="36"/>
      <c r="D25" s="38"/>
      <c r="F25" s="36"/>
      <c r="G25" s="95" t="s">
        <v>27</v>
      </c>
      <c r="H25" s="6"/>
      <c r="I25" s="97">
        <f>(I27-I23)*I29</f>
        <v>6.1750000000000013E-2</v>
      </c>
      <c r="J25" s="26"/>
    </row>
    <row r="26" spans="1:18" x14ac:dyDescent="0.25">
      <c r="A26" s="35"/>
      <c r="B26" s="36"/>
      <c r="C26" s="36"/>
      <c r="D26" s="38"/>
      <c r="F26" s="36"/>
      <c r="G26" s="95"/>
      <c r="H26" s="6"/>
      <c r="I26" s="96"/>
      <c r="J26" s="26"/>
    </row>
    <row r="27" spans="1:18" x14ac:dyDescent="0.25">
      <c r="A27" s="35"/>
      <c r="B27" s="36"/>
      <c r="C27" s="36"/>
      <c r="D27" s="38"/>
      <c r="F27" s="36"/>
      <c r="G27" s="95" t="s">
        <v>28</v>
      </c>
      <c r="H27" s="6"/>
      <c r="I27" s="98">
        <v>7.0000000000000007E-2</v>
      </c>
      <c r="J27" s="26" t="s">
        <v>29</v>
      </c>
    </row>
    <row r="28" spans="1:18" x14ac:dyDescent="0.25">
      <c r="A28" s="35"/>
      <c r="B28" s="36"/>
      <c r="C28" s="36"/>
      <c r="D28" s="39"/>
      <c r="F28" s="36"/>
      <c r="G28" s="95"/>
      <c r="H28" s="6"/>
      <c r="I28" s="96"/>
      <c r="J28" s="26"/>
    </row>
    <row r="29" spans="1:18" x14ac:dyDescent="0.25">
      <c r="A29" s="35"/>
      <c r="B29" s="36"/>
      <c r="C29" s="36"/>
      <c r="D29" s="39"/>
      <c r="F29" s="36"/>
      <c r="G29" s="95" t="s">
        <v>35</v>
      </c>
      <c r="H29" s="6"/>
      <c r="I29" s="96">
        <v>1.9</v>
      </c>
      <c r="J29" s="26" t="s">
        <v>30</v>
      </c>
    </row>
    <row r="30" spans="1:18" x14ac:dyDescent="0.25">
      <c r="A30" s="35"/>
      <c r="B30" s="36"/>
      <c r="C30" s="36"/>
      <c r="D30" s="40"/>
      <c r="F30" s="36"/>
      <c r="G30" s="95"/>
      <c r="H30" s="6"/>
      <c r="I30" s="96"/>
      <c r="J30" s="26"/>
    </row>
    <row r="31" spans="1:18" x14ac:dyDescent="0.25">
      <c r="A31" s="35"/>
      <c r="B31" s="36"/>
      <c r="C31" s="36"/>
      <c r="D31" s="37"/>
      <c r="F31" s="36"/>
      <c r="G31" s="95" t="s">
        <v>31</v>
      </c>
      <c r="H31" s="6"/>
      <c r="I31" s="98">
        <f>I23+(I27-I23)*I29</f>
        <v>9.9250000000000005E-2</v>
      </c>
      <c r="J31" s="26" t="s">
        <v>32</v>
      </c>
    </row>
    <row r="32" spans="1:18" x14ac:dyDescent="0.25">
      <c r="A32" s="25"/>
      <c r="C32" s="41"/>
      <c r="E32" s="36"/>
      <c r="F32" s="36"/>
      <c r="G32" s="95"/>
      <c r="H32" s="6"/>
      <c r="I32" s="6"/>
      <c r="J32" s="26"/>
    </row>
    <row r="33" spans="1:10" x14ac:dyDescent="0.25">
      <c r="A33" s="25"/>
      <c r="G33" s="99" t="s">
        <v>34</v>
      </c>
      <c r="H33" s="100"/>
      <c r="I33" s="101">
        <f>I31</f>
        <v>9.9250000000000005E-2</v>
      </c>
      <c r="J33" s="26"/>
    </row>
    <row r="34" spans="1:10" x14ac:dyDescent="0.25">
      <c r="A34" s="35" t="s">
        <v>7</v>
      </c>
      <c r="B34" s="36"/>
      <c r="C34" s="42"/>
      <c r="D34" s="27"/>
      <c r="G34" s="95"/>
      <c r="H34" s="6"/>
      <c r="I34" s="6"/>
      <c r="J34" s="26"/>
    </row>
    <row r="35" spans="1:10" ht="15.75" hidden="1" customHeight="1" x14ac:dyDescent="0.25">
      <c r="A35" s="25"/>
      <c r="G35" s="25"/>
      <c r="J35" s="26"/>
    </row>
    <row r="36" spans="1:10" ht="15.75" hidden="1" customHeight="1" x14ac:dyDescent="0.25">
      <c r="A36" s="25"/>
      <c r="B36" s="1" t="s">
        <v>8</v>
      </c>
      <c r="D36" s="43">
        <v>0.08</v>
      </c>
      <c r="G36" s="25"/>
      <c r="J36" s="26"/>
    </row>
    <row r="37" spans="1:10" ht="15.75" hidden="1" customHeight="1" x14ac:dyDescent="0.25">
      <c r="A37" s="25"/>
      <c r="G37" s="25"/>
      <c r="J37" s="26"/>
    </row>
    <row r="38" spans="1:10" ht="15.75" hidden="1" customHeight="1" x14ac:dyDescent="0.25">
      <c r="A38" s="25"/>
      <c r="G38" s="25"/>
      <c r="J38" s="26"/>
    </row>
    <row r="39" spans="1:10" ht="15.75" hidden="1" customHeight="1" x14ac:dyDescent="0.25">
      <c r="A39" s="25"/>
      <c r="G39" s="25"/>
      <c r="J39" s="26"/>
    </row>
    <row r="40" spans="1:10" hidden="1" x14ac:dyDescent="0.25">
      <c r="A40" s="25"/>
      <c r="B40" s="41"/>
      <c r="C40" s="41">
        <v>0.12</v>
      </c>
      <c r="D40" s="41" t="e">
        <f>((NPV(C40,$G$15:$Q$15)+(#REF!*(1+#REF!)/(C40-#REF!))/(1+C40)^(2040-2020))/$D$50)/$C$51-1</f>
        <v>#REF!</v>
      </c>
      <c r="G40" s="25"/>
      <c r="J40" s="26"/>
    </row>
    <row r="41" spans="1:10" hidden="1" x14ac:dyDescent="0.25">
      <c r="A41" s="25"/>
      <c r="B41" s="41"/>
      <c r="C41" s="41">
        <v>0.14000000000000001</v>
      </c>
      <c r="D41" s="41" t="e">
        <f>((NPV(C41,$G$15:$Q$15)+(#REF!*(1+#REF!)/(C41-#REF!))/(1+C41)^(2040-2020))/$D$50)/$C$51-1</f>
        <v>#REF!</v>
      </c>
      <c r="G41" s="25"/>
      <c r="J41" s="26"/>
    </row>
    <row r="42" spans="1:10" hidden="1" x14ac:dyDescent="0.25">
      <c r="A42" s="25"/>
      <c r="B42" s="41"/>
      <c r="C42" s="41">
        <v>0.16</v>
      </c>
      <c r="D42" s="41" t="e">
        <f>((NPV(C42,$G$15:$Q$15)+(#REF!*(1+#REF!)/(C42-#REF!))/(1+C42)^(2040-2020))/$D$50)/$C$51-1</f>
        <v>#REF!</v>
      </c>
      <c r="G42" s="25"/>
      <c r="J42" s="26"/>
    </row>
    <row r="43" spans="1:10" hidden="1" x14ac:dyDescent="0.25">
      <c r="A43" s="25"/>
      <c r="B43" s="41"/>
      <c r="C43" s="41">
        <v>0.18</v>
      </c>
      <c r="D43" s="41" t="e">
        <f>((NPV(C43,$G$15:$Q$15)+(#REF!*(1+#REF!)/(C43-#REF!))/(1+C43)^(2040-2020))/$D$50)/$C$51-1</f>
        <v>#REF!</v>
      </c>
      <c r="G43" s="25"/>
      <c r="J43" s="26"/>
    </row>
    <row r="44" spans="1:10" hidden="1" x14ac:dyDescent="0.25">
      <c r="A44" s="25"/>
      <c r="B44" s="41"/>
      <c r="C44" s="41">
        <v>0.2</v>
      </c>
      <c r="D44" s="41" t="e">
        <f>((NPV(C44,$G$15:$Q$15)+(#REF!*(1+#REF!)/(C44-#REF!))/(1+C44)^(2040-2020))/$D$50)/$C$51-1</f>
        <v>#REF!</v>
      </c>
      <c r="G44" s="25"/>
      <c r="J44" s="26"/>
    </row>
    <row r="45" spans="1:10" x14ac:dyDescent="0.25">
      <c r="A45" s="25"/>
      <c r="G45" s="25"/>
      <c r="J45" s="26"/>
    </row>
    <row r="46" spans="1:10" ht="16.5" thickBot="1" x14ac:dyDescent="0.3">
      <c r="A46" s="28"/>
      <c r="B46" s="29" t="s">
        <v>20</v>
      </c>
      <c r="C46" s="29"/>
      <c r="D46" s="44">
        <f>I33</f>
        <v>9.9250000000000005E-2</v>
      </c>
      <c r="E46" s="29"/>
      <c r="F46" s="29"/>
      <c r="G46" s="28"/>
      <c r="H46" s="29"/>
      <c r="I46" s="29"/>
      <c r="J46" s="30"/>
    </row>
    <row r="48" spans="1:10" x14ac:dyDescent="0.25">
      <c r="A48" s="16"/>
      <c r="B48" s="17"/>
      <c r="C48" s="85">
        <v>44589</v>
      </c>
      <c r="D48" s="18" t="s">
        <v>3</v>
      </c>
      <c r="E48" s="19"/>
      <c r="F48" s="20"/>
      <c r="G48" s="21"/>
      <c r="H48" s="21"/>
      <c r="I48" s="21"/>
    </row>
    <row r="49" spans="1:17" x14ac:dyDescent="0.25">
      <c r="A49" s="45" t="s">
        <v>0</v>
      </c>
      <c r="B49" s="46" t="s">
        <v>5</v>
      </c>
      <c r="C49" s="56">
        <f>C50*C51</f>
        <v>17057.657359999997</v>
      </c>
      <c r="D49" s="47">
        <f>SUM(G19:Q19)</f>
        <v>3986.9372030370359</v>
      </c>
      <c r="E49" s="46" t="s">
        <v>47</v>
      </c>
    </row>
    <row r="50" spans="1:17" x14ac:dyDescent="0.25">
      <c r="A50" s="45"/>
      <c r="B50" s="46" t="s">
        <v>11</v>
      </c>
      <c r="C50" s="56">
        <v>321.17599999999999</v>
      </c>
      <c r="D50" s="56">
        <f>C50</f>
        <v>321.17599999999999</v>
      </c>
      <c r="E50" s="46"/>
    </row>
    <row r="51" spans="1:17" x14ac:dyDescent="0.25">
      <c r="A51" s="45"/>
      <c r="B51" s="46" t="s">
        <v>13</v>
      </c>
      <c r="C51" s="89">
        <v>53.11</v>
      </c>
      <c r="D51" s="56">
        <f>D49/(D50)</f>
        <v>12.41355893042144</v>
      </c>
      <c r="E51" s="46" t="s">
        <v>47</v>
      </c>
    </row>
    <row r="52" spans="1:17" x14ac:dyDescent="0.25">
      <c r="A52" s="45"/>
      <c r="B52" s="46" t="s">
        <v>2</v>
      </c>
      <c r="C52" s="46"/>
      <c r="D52" s="57">
        <f>IF(C51/D51-1&gt;0,0,C51/D51-1)*-1</f>
        <v>0</v>
      </c>
      <c r="E52" s="46"/>
    </row>
    <row r="53" spans="1:17" x14ac:dyDescent="0.25">
      <c r="A53" s="45"/>
      <c r="B53" s="46" t="s">
        <v>14</v>
      </c>
      <c r="C53" s="46"/>
      <c r="D53" s="58">
        <f>IF(C51/D51-1&lt;0,0,C51/D51-1)</f>
        <v>3.2783862627699243</v>
      </c>
      <c r="E53" s="46"/>
    </row>
    <row r="54" spans="1:17" x14ac:dyDescent="0.25">
      <c r="A54" s="46"/>
      <c r="B54" s="46"/>
      <c r="C54" s="46"/>
      <c r="D54" s="48"/>
      <c r="E54" s="48"/>
    </row>
    <row r="55" spans="1:17" x14ac:dyDescent="0.25">
      <c r="A55" s="48" t="s">
        <v>19</v>
      </c>
      <c r="B55" s="46"/>
      <c r="C55" s="50">
        <f>D46</f>
        <v>9.9250000000000005E-2</v>
      </c>
      <c r="D55" s="49"/>
      <c r="E55" s="46"/>
      <c r="J55" s="72"/>
    </row>
    <row r="56" spans="1:17" x14ac:dyDescent="0.25">
      <c r="A56" s="48"/>
      <c r="B56" s="46"/>
      <c r="C56" s="50"/>
      <c r="D56" s="49"/>
      <c r="E56" s="46"/>
    </row>
    <row r="57" spans="1:17" hidden="1" x14ac:dyDescent="0.25">
      <c r="A57" s="48" t="s">
        <v>22</v>
      </c>
      <c r="B57" s="75">
        <v>0.108</v>
      </c>
      <c r="C57" s="50"/>
      <c r="D57" s="76">
        <f>SUM(H57:Q57)*1000</f>
        <v>3151892.0026869373</v>
      </c>
      <c r="E57" s="46"/>
      <c r="F57" s="1" t="s">
        <v>23</v>
      </c>
      <c r="H57" s="1">
        <f>G15/(1+$B$57)</f>
        <v>-178.53373646209388</v>
      </c>
      <c r="I57" s="1">
        <f>H15/(1+$B$57)^2</f>
        <v>-176.53380729580729</v>
      </c>
      <c r="J57" s="1">
        <f>I15/(1+$B$57)^3</f>
        <v>-166.95505544785519</v>
      </c>
      <c r="K57" s="1">
        <f>J15/(1+$B$57)^4</f>
        <v>87.505359004691911</v>
      </c>
      <c r="L57" s="1">
        <f>K15/(1+$B$57)^5</f>
        <v>110.09402013727787</v>
      </c>
      <c r="M57" s="1">
        <f>L15/(1+$B$57)^6</f>
        <v>147.88437364799611</v>
      </c>
      <c r="N57" s="1">
        <f>M15/(1+$B$57)^7</f>
        <v>188.42774302144332</v>
      </c>
      <c r="O57" s="1">
        <f>N15/(1+$B$57)^8</f>
        <v>224.90585753236346</v>
      </c>
      <c r="P57" s="1">
        <f>O15/(1+$B$57)^9</f>
        <v>245.52193362699535</v>
      </c>
      <c r="Q57" s="1">
        <f>(Q15/(B57-Q12))/(1+B57)^10</f>
        <v>2669.5753149219258</v>
      </c>
    </row>
    <row r="58" spans="1:17" ht="16.5" thickBot="1" x14ac:dyDescent="0.3">
      <c r="A58" s="22"/>
      <c r="C58" s="67"/>
      <c r="D58" s="68"/>
    </row>
    <row r="59" spans="1:17" x14ac:dyDescent="0.25">
      <c r="A59" s="59" t="s">
        <v>41</v>
      </c>
      <c r="B59" s="23"/>
      <c r="C59" s="69">
        <v>18</v>
      </c>
      <c r="D59" s="23"/>
      <c r="E59" s="24"/>
    </row>
    <row r="60" spans="1:17" x14ac:dyDescent="0.25">
      <c r="A60" s="25" t="s">
        <v>21</v>
      </c>
      <c r="C60" s="70"/>
      <c r="E60" s="26"/>
    </row>
    <row r="61" spans="1:17" x14ac:dyDescent="0.25">
      <c r="A61" s="25"/>
      <c r="C61" s="70"/>
      <c r="E61" s="26"/>
    </row>
    <row r="62" spans="1:17" x14ac:dyDescent="0.25">
      <c r="A62" s="25" t="s">
        <v>37</v>
      </c>
      <c r="C62" s="70"/>
      <c r="E62" s="60">
        <f>P17*C59</f>
        <v>38.228398819584534</v>
      </c>
    </row>
    <row r="63" spans="1:17" x14ac:dyDescent="0.25">
      <c r="A63" s="25"/>
      <c r="C63" s="70"/>
      <c r="E63" s="26"/>
    </row>
    <row r="64" spans="1:17" x14ac:dyDescent="0.25">
      <c r="A64" s="25" t="s">
        <v>17</v>
      </c>
      <c r="C64" s="71">
        <v>0</v>
      </c>
      <c r="E64" s="26"/>
    </row>
    <row r="65" spans="1:5" x14ac:dyDescent="0.25">
      <c r="A65" s="25"/>
      <c r="E65" s="26"/>
    </row>
    <row r="66" spans="1:5" x14ac:dyDescent="0.25">
      <c r="A66" s="25" t="s">
        <v>18</v>
      </c>
      <c r="E66" s="60">
        <f>SUM(G17:Q17)*C64</f>
        <v>0</v>
      </c>
    </row>
    <row r="67" spans="1:5" x14ac:dyDescent="0.25">
      <c r="A67" s="25"/>
      <c r="E67" s="61"/>
    </row>
    <row r="68" spans="1:5" x14ac:dyDescent="0.25">
      <c r="A68" s="62" t="s">
        <v>48</v>
      </c>
      <c r="E68" s="63">
        <f>(E66*0.25)*-1</f>
        <v>0</v>
      </c>
    </row>
    <row r="69" spans="1:5" x14ac:dyDescent="0.25">
      <c r="A69" s="25"/>
      <c r="C69" s="41"/>
      <c r="D69" s="41"/>
      <c r="E69" s="64"/>
    </row>
    <row r="70" spans="1:5" x14ac:dyDescent="0.25">
      <c r="A70" s="25" t="s">
        <v>42</v>
      </c>
      <c r="E70" s="60">
        <f>SUM(E62:E68)</f>
        <v>38.228398819584534</v>
      </c>
    </row>
    <row r="71" spans="1:5" x14ac:dyDescent="0.25">
      <c r="A71" s="25"/>
      <c r="E71" s="60"/>
    </row>
    <row r="72" spans="1:5" x14ac:dyDescent="0.25">
      <c r="A72" s="25" t="s">
        <v>43</v>
      </c>
      <c r="E72" s="64">
        <f>E70/C51-1</f>
        <v>-0.28020337376041171</v>
      </c>
    </row>
    <row r="73" spans="1:5" x14ac:dyDescent="0.25">
      <c r="A73" s="25"/>
      <c r="E73" s="26"/>
    </row>
    <row r="74" spans="1:5" ht="16.5" thickBot="1" x14ac:dyDescent="0.3">
      <c r="A74" s="105" t="s">
        <v>44</v>
      </c>
      <c r="B74" s="106"/>
      <c r="C74" s="106"/>
      <c r="D74" s="106"/>
      <c r="E74" s="107">
        <f>(E70/C51)^(1/9)-1</f>
        <v>-3.5872605525822721E-2</v>
      </c>
    </row>
  </sheetData>
  <conditionalFormatting sqref="L6:L8">
    <cfRule type="top10" dxfId="11" priority="6" percent="1" rank="10"/>
  </conditionalFormatting>
  <conditionalFormatting sqref="G6:J8">
    <cfRule type="top10" dxfId="10" priority="5" percent="1" rank="10"/>
  </conditionalFormatting>
  <conditionalFormatting sqref="K9">
    <cfRule type="top10" dxfId="9" priority="4" percent="1" rank="10"/>
  </conditionalFormatting>
  <conditionalFormatting sqref="L2:L5">
    <cfRule type="top10" dxfId="8" priority="3" percent="1" rank="10"/>
  </conditionalFormatting>
  <conditionalFormatting sqref="C32">
    <cfRule type="colorScale" priority="2">
      <colorScale>
        <cfvo type="num" val="0"/>
        <cfvo type="percentile" val="7.0000000000000007E-2"/>
        <cfvo type="num" val="0.15"/>
        <color rgb="FFFFE1E2"/>
        <color rgb="FFFFFAE0"/>
        <color rgb="FF9CF5DC"/>
      </colorScale>
    </cfRule>
  </conditionalFormatting>
  <conditionalFormatting sqref="D40:D44">
    <cfRule type="colorScale" priority="1">
      <colorScale>
        <cfvo type="min"/>
        <cfvo type="num" val="0"/>
        <cfvo type="max"/>
        <color rgb="FFFFE1E2"/>
        <color rgb="FFFFFAE0"/>
        <color rgb="FF9CF5DC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CB34D-A856-4E94-9389-3AD72615DA53}">
  <dimension ref="A2:AB74"/>
  <sheetViews>
    <sheetView zoomScaleNormal="100" workbookViewId="0">
      <selection activeCell="C60" sqref="C60"/>
    </sheetView>
  </sheetViews>
  <sheetFormatPr baseColWidth="10" defaultColWidth="10.625" defaultRowHeight="15.75" x14ac:dyDescent="0.25"/>
  <cols>
    <col min="1" max="1" width="27.125" style="1" bestFit="1" customWidth="1"/>
    <col min="2" max="2" width="32.375" style="1" customWidth="1"/>
    <col min="3" max="17" width="16.25" style="1" customWidth="1"/>
    <col min="18" max="18" width="10.625" style="1" customWidth="1"/>
    <col min="19" max="16384" width="10.625" style="1"/>
  </cols>
  <sheetData>
    <row r="2" spans="1:28" ht="26.25" x14ac:dyDescent="0.4">
      <c r="B2" s="31" t="s">
        <v>10</v>
      </c>
    </row>
    <row r="4" spans="1:28" x14ac:dyDescent="0.25">
      <c r="B4" s="22" t="s">
        <v>46</v>
      </c>
    </row>
    <row r="6" spans="1:28" x14ac:dyDescent="0.25">
      <c r="B6" s="1" t="s">
        <v>33</v>
      </c>
    </row>
    <row r="9" spans="1:28" s="8" customFormat="1" x14ac:dyDescent="0.25">
      <c r="G9" s="9" t="s">
        <v>9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x14ac:dyDescent="0.25">
      <c r="A10" s="4"/>
      <c r="B10" s="4"/>
      <c r="C10" s="11">
        <v>2018</v>
      </c>
      <c r="D10" s="11">
        <v>2019</v>
      </c>
      <c r="E10" s="11">
        <v>2020</v>
      </c>
      <c r="F10" s="11">
        <v>2021</v>
      </c>
      <c r="G10" s="55">
        <v>2022</v>
      </c>
      <c r="H10" s="55">
        <v>2023</v>
      </c>
      <c r="I10" s="55">
        <v>2024</v>
      </c>
      <c r="J10" s="55">
        <v>2025</v>
      </c>
      <c r="K10" s="55">
        <v>2026</v>
      </c>
      <c r="L10" s="55">
        <v>2027</v>
      </c>
      <c r="M10" s="55">
        <v>2028</v>
      </c>
      <c r="N10" s="55">
        <v>2029</v>
      </c>
      <c r="O10" s="55">
        <v>2030</v>
      </c>
      <c r="P10" s="55">
        <v>2031</v>
      </c>
      <c r="Q10" s="55" t="s">
        <v>45</v>
      </c>
    </row>
    <row r="11" spans="1:28" x14ac:dyDescent="0.25">
      <c r="A11" s="5"/>
      <c r="B11" s="4" t="s">
        <v>4</v>
      </c>
      <c r="C11" s="84">
        <v>192.67400000000001</v>
      </c>
      <c r="D11" s="84">
        <v>287.02199999999999</v>
      </c>
      <c r="E11" s="84">
        <v>431.05900000000003</v>
      </c>
      <c r="F11" s="84">
        <v>656.42600000000004</v>
      </c>
      <c r="G11" s="74">
        <v>974.46</v>
      </c>
      <c r="H11" s="74">
        <v>1313.48</v>
      </c>
      <c r="I11" s="74">
        <v>1746.93</v>
      </c>
      <c r="J11" s="74">
        <f t="shared" ref="J11" si="0">I11*(1+J12)</f>
        <v>2533.0484999999999</v>
      </c>
      <c r="K11" s="74">
        <f t="shared" ref="K11" si="1">J11*(1+K12)</f>
        <v>3546.2678999999998</v>
      </c>
      <c r="L11" s="74">
        <f t="shared" ref="L11:Q11" si="2">K11*(1+L12)</f>
        <v>4787.4616649999998</v>
      </c>
      <c r="M11" s="74">
        <f t="shared" si="2"/>
        <v>6319.4493978</v>
      </c>
      <c r="N11" s="74">
        <f t="shared" si="2"/>
        <v>8215.2842171400007</v>
      </c>
      <c r="O11" s="74">
        <f t="shared" si="2"/>
        <v>9858.3410605680001</v>
      </c>
      <c r="P11" s="74">
        <f t="shared" si="2"/>
        <v>11041.341987836162</v>
      </c>
      <c r="Q11" s="74">
        <f t="shared" si="2"/>
        <v>11262.168827592885</v>
      </c>
    </row>
    <row r="12" spans="1:28" x14ac:dyDescent="0.25">
      <c r="A12" s="5"/>
      <c r="B12" s="4" t="s">
        <v>1</v>
      </c>
      <c r="C12" s="91"/>
      <c r="D12" s="91">
        <f t="shared" ref="D12:I12" si="3">D11/C11-1</f>
        <v>0.48967686351038542</v>
      </c>
      <c r="E12" s="91">
        <f t="shared" si="3"/>
        <v>0.50183261213426156</v>
      </c>
      <c r="F12" s="91">
        <f t="shared" si="3"/>
        <v>0.52282170190159594</v>
      </c>
      <c r="G12" s="87">
        <f t="shared" si="3"/>
        <v>0.48449330160596915</v>
      </c>
      <c r="H12" s="87">
        <f t="shared" si="3"/>
        <v>0.34790550663957465</v>
      </c>
      <c r="I12" s="87">
        <f t="shared" si="3"/>
        <v>0.33000121813807604</v>
      </c>
      <c r="J12" s="87">
        <v>0.45</v>
      </c>
      <c r="K12" s="87">
        <v>0.4</v>
      </c>
      <c r="L12" s="73">
        <v>0.35</v>
      </c>
      <c r="M12" s="73">
        <v>0.32</v>
      </c>
      <c r="N12" s="73">
        <v>0.3</v>
      </c>
      <c r="O12" s="73">
        <v>0.2</v>
      </c>
      <c r="P12" s="73">
        <v>0.12</v>
      </c>
      <c r="Q12" s="12">
        <v>0.02</v>
      </c>
    </row>
    <row r="13" spans="1:28" ht="15.95" customHeight="1" x14ac:dyDescent="0.25">
      <c r="A13" s="5"/>
      <c r="B13" s="4" t="s">
        <v>15</v>
      </c>
      <c r="C13" s="90">
        <v>-0.29601814463809334</v>
      </c>
      <c r="D13" s="90">
        <v>-0.24804370396694331</v>
      </c>
      <c r="E13" s="90">
        <v>-7.862496781183087E-2</v>
      </c>
      <c r="F13" s="90">
        <v>-1.0700368358352655E-2</v>
      </c>
      <c r="G13" s="86">
        <v>3.1600000000000003E-2</v>
      </c>
      <c r="H13" s="86">
        <v>3.5999999999999997E-2</v>
      </c>
      <c r="I13" s="86">
        <v>4.6100000000000002E-2</v>
      </c>
      <c r="J13" s="86">
        <v>7.1900000000000006E-2</v>
      </c>
      <c r="K13" s="86">
        <v>7.7100000000000002E-2</v>
      </c>
      <c r="L13" s="86">
        <v>0.1</v>
      </c>
      <c r="M13" s="86">
        <v>0.12</v>
      </c>
      <c r="N13" s="86">
        <v>0.15</v>
      </c>
      <c r="O13" s="86">
        <v>0.16</v>
      </c>
      <c r="P13" s="86">
        <v>0.17</v>
      </c>
      <c r="Q13" s="86">
        <v>0.17</v>
      </c>
    </row>
    <row r="14" spans="1:28" ht="17.100000000000001" customHeight="1" x14ac:dyDescent="0.25">
      <c r="A14" s="5"/>
      <c r="B14" s="4" t="s">
        <v>16</v>
      </c>
      <c r="C14" s="84">
        <f>C11*C13</f>
        <v>-57.034999999999997</v>
      </c>
      <c r="D14" s="84">
        <f t="shared" ref="D14:J14" si="4">D11*D13</f>
        <v>-71.194000000000003</v>
      </c>
      <c r="E14" s="84">
        <f t="shared" si="4"/>
        <v>-33.892000000000003</v>
      </c>
      <c r="F14" s="84">
        <f t="shared" si="4"/>
        <v>-7.024</v>
      </c>
      <c r="G14" s="74">
        <f t="shared" si="4"/>
        <v>30.792936000000005</v>
      </c>
      <c r="H14" s="74">
        <f t="shared" si="4"/>
        <v>47.28528</v>
      </c>
      <c r="I14" s="74">
        <f t="shared" si="4"/>
        <v>80.533473000000001</v>
      </c>
      <c r="J14" s="74">
        <f t="shared" si="4"/>
        <v>182.12618714999999</v>
      </c>
      <c r="K14" s="74">
        <f t="shared" ref="K14:Q14" si="5">K11*K13</f>
        <v>273.41725508999997</v>
      </c>
      <c r="L14" s="74">
        <f t="shared" si="5"/>
        <v>478.74616650000002</v>
      </c>
      <c r="M14" s="74">
        <f t="shared" si="5"/>
        <v>758.33392773599996</v>
      </c>
      <c r="N14" s="74">
        <f t="shared" si="5"/>
        <v>1232.292632571</v>
      </c>
      <c r="O14" s="74">
        <f>O11*O13</f>
        <v>1577.33456969088</v>
      </c>
      <c r="P14" s="74">
        <f t="shared" si="5"/>
        <v>1877.0281379321477</v>
      </c>
      <c r="Q14" s="74">
        <f t="shared" si="5"/>
        <v>1914.5687006907906</v>
      </c>
    </row>
    <row r="15" spans="1:28" x14ac:dyDescent="0.25">
      <c r="A15" s="102">
        <v>0.2</v>
      </c>
      <c r="B15" s="4" t="s">
        <v>39</v>
      </c>
      <c r="C15" s="84">
        <v>-9.7149999999999999</v>
      </c>
      <c r="D15" s="84">
        <v>-87.164000000000001</v>
      </c>
      <c r="E15" s="84">
        <v>-105.828</v>
      </c>
      <c r="F15" s="84">
        <v>-119.37</v>
      </c>
      <c r="G15" s="74">
        <v>-197.81538000000003</v>
      </c>
      <c r="H15" s="74">
        <v>-216.72420000000002</v>
      </c>
      <c r="I15" s="74">
        <v>-227.10090000000002</v>
      </c>
      <c r="J15" s="74">
        <f t="shared" ref="J15:Q15" si="6">J14*(1-$A$15)</f>
        <v>145.70094972000001</v>
      </c>
      <c r="K15" s="74">
        <f t="shared" si="6"/>
        <v>218.733804072</v>
      </c>
      <c r="L15" s="74">
        <f t="shared" si="6"/>
        <v>382.99693320000006</v>
      </c>
      <c r="M15" s="74">
        <f t="shared" si="6"/>
        <v>606.66714218879997</v>
      </c>
      <c r="N15" s="74">
        <f t="shared" si="6"/>
        <v>985.83410605680001</v>
      </c>
      <c r="O15" s="74">
        <f>O14*(1-$A$15)</f>
        <v>1261.8676557527042</v>
      </c>
      <c r="P15" s="74">
        <f t="shared" si="6"/>
        <v>1501.6225103457182</v>
      </c>
      <c r="Q15" s="74">
        <f t="shared" si="6"/>
        <v>1531.6549605526325</v>
      </c>
    </row>
    <row r="16" spans="1:28" ht="32.25" hidden="1" thickBot="1" x14ac:dyDescent="0.3">
      <c r="A16" s="13" t="s">
        <v>6</v>
      </c>
      <c r="B16" s="14"/>
      <c r="C16" s="15">
        <f t="shared" ref="C16:J16" si="7">C15/C14</f>
        <v>0.17033400543525906</v>
      </c>
      <c r="D16" s="15">
        <f t="shared" si="7"/>
        <v>1.224316655897969</v>
      </c>
      <c r="E16" s="15">
        <f t="shared" si="7"/>
        <v>3.1225067862622446</v>
      </c>
      <c r="F16" s="15">
        <f t="shared" si="7"/>
        <v>16.994589977220958</v>
      </c>
      <c r="G16" s="15">
        <f t="shared" si="7"/>
        <v>-6.4240506329113929</v>
      </c>
      <c r="H16" s="15">
        <f t="shared" si="7"/>
        <v>-4.5833333333333339</v>
      </c>
      <c r="I16" s="15">
        <f t="shared" si="7"/>
        <v>-2.8199566160520608</v>
      </c>
      <c r="J16" s="15">
        <f t="shared" si="7"/>
        <v>0.8</v>
      </c>
    </row>
    <row r="17" spans="1:18" x14ac:dyDescent="0.25">
      <c r="A17" s="2" t="s">
        <v>36</v>
      </c>
      <c r="C17" s="84"/>
      <c r="D17" s="84"/>
      <c r="E17" s="84"/>
      <c r="F17" s="84"/>
      <c r="G17" s="74">
        <f>G15/G18</f>
        <v>-0.61590959473933304</v>
      </c>
      <c r="H17" s="74">
        <f t="shared" ref="H17:O17" si="8">H15/H18</f>
        <v>-0.67478329638578238</v>
      </c>
      <c r="I17" s="74">
        <f t="shared" si="8"/>
        <v>-0.70709175031758298</v>
      </c>
      <c r="J17" s="74">
        <f t="shared" si="8"/>
        <v>0.45364831033452069</v>
      </c>
      <c r="K17" s="74">
        <f t="shared" si="8"/>
        <v>0.68104031456895908</v>
      </c>
      <c r="L17" s="74">
        <f t="shared" si="8"/>
        <v>1.192483041074053</v>
      </c>
      <c r="M17" s="74">
        <f t="shared" si="8"/>
        <v>1.8888931370612998</v>
      </c>
      <c r="N17" s="74">
        <f t="shared" si="8"/>
        <v>3.0694513477246121</v>
      </c>
      <c r="O17" s="74">
        <f t="shared" si="8"/>
        <v>3.9288977250875043</v>
      </c>
      <c r="P17" s="74">
        <f>P15/P18</f>
        <v>4.6753882928541302</v>
      </c>
      <c r="Q17" s="74"/>
    </row>
    <row r="18" spans="1:18" ht="32.25" thickBot="1" x14ac:dyDescent="0.3">
      <c r="A18" s="2" t="s">
        <v>38</v>
      </c>
      <c r="C18" s="84"/>
      <c r="D18" s="84"/>
      <c r="E18" s="84"/>
      <c r="F18" s="84"/>
      <c r="G18" s="74">
        <f>C50</f>
        <v>321.17599999999999</v>
      </c>
      <c r="H18" s="74">
        <f>G18*1</f>
        <v>321.17599999999999</v>
      </c>
      <c r="I18" s="74">
        <f t="shared" ref="I18:P18" si="9">H18*1</f>
        <v>321.17599999999999</v>
      </c>
      <c r="J18" s="74">
        <f t="shared" si="9"/>
        <v>321.17599999999999</v>
      </c>
      <c r="K18" s="74">
        <f t="shared" si="9"/>
        <v>321.17599999999999</v>
      </c>
      <c r="L18" s="74">
        <f t="shared" si="9"/>
        <v>321.17599999999999</v>
      </c>
      <c r="M18" s="74">
        <f t="shared" si="9"/>
        <v>321.17599999999999</v>
      </c>
      <c r="N18" s="74">
        <f t="shared" si="9"/>
        <v>321.17599999999999</v>
      </c>
      <c r="O18" s="74">
        <f t="shared" si="9"/>
        <v>321.17599999999999</v>
      </c>
      <c r="P18" s="74">
        <f t="shared" si="9"/>
        <v>321.17599999999999</v>
      </c>
      <c r="Q18" s="74"/>
    </row>
    <row r="19" spans="1:18" ht="16.5" thickBot="1" x14ac:dyDescent="0.3">
      <c r="A19" s="2"/>
      <c r="E19" s="51" t="s">
        <v>12</v>
      </c>
      <c r="F19" s="52"/>
      <c r="G19" s="53">
        <f>G15/(1+$C$55)</f>
        <v>-179.95486013190813</v>
      </c>
      <c r="H19" s="53">
        <f>H15/(1+$C$55)^2</f>
        <v>-179.35540126005444</v>
      </c>
      <c r="I19" s="53">
        <f>I15/(1+$C$55)^3</f>
        <v>-170.97374810768807</v>
      </c>
      <c r="J19" s="53">
        <f>J15/(1+$C$55)^4</f>
        <v>99.787578853929162</v>
      </c>
      <c r="K19" s="53">
        <f>K15/(1+$C$55)^5</f>
        <v>136.28044233589677</v>
      </c>
      <c r="L19" s="53">
        <f>L15/(1+$C$55)^6</f>
        <v>217.0783194100454</v>
      </c>
      <c r="M19" s="53">
        <f>M15/(1+$C$55)^7</f>
        <v>312.80605680737943</v>
      </c>
      <c r="N19" s="53">
        <f>N15/(1+$C$55)^8</f>
        <v>462.41513969705852</v>
      </c>
      <c r="O19" s="53">
        <f>O15/(1+$C$55)^9</f>
        <v>538.45019678165556</v>
      </c>
      <c r="P19" s="53">
        <f>P15/(1+$C$55)^10</f>
        <v>582.90264650458971</v>
      </c>
      <c r="Q19" s="54">
        <f>(Q15/(C55-Q12))/(1+C55)^10</f>
        <v>7502.3432105322581</v>
      </c>
    </row>
    <row r="20" spans="1:18" x14ac:dyDescent="0.25">
      <c r="A20" s="2"/>
      <c r="C20" s="77"/>
      <c r="D20" s="42"/>
      <c r="G20" s="6"/>
      <c r="H20" s="7"/>
      <c r="I20" s="6"/>
      <c r="J20" s="6"/>
      <c r="K20" s="6"/>
      <c r="L20" s="6"/>
      <c r="M20" s="6"/>
      <c r="N20" s="6"/>
      <c r="O20" s="6"/>
      <c r="P20" s="3"/>
      <c r="Q20" s="3"/>
      <c r="R20" s="3"/>
    </row>
    <row r="21" spans="1:18" x14ac:dyDescent="0.25">
      <c r="A21" s="2"/>
      <c r="J21" s="103"/>
      <c r="K21" s="103"/>
      <c r="L21" s="103"/>
      <c r="M21" s="103"/>
      <c r="N21" s="103"/>
      <c r="O21" s="103"/>
      <c r="P21" s="103"/>
      <c r="Q21" s="103"/>
      <c r="R21" s="3"/>
    </row>
    <row r="22" spans="1:18" ht="16.5" thickBot="1" x14ac:dyDescent="0.3">
      <c r="P22" s="3"/>
      <c r="Q22" s="3"/>
      <c r="R22" s="3"/>
    </row>
    <row r="23" spans="1:18" x14ac:dyDescent="0.25">
      <c r="A23" s="32" t="s">
        <v>24</v>
      </c>
      <c r="B23" s="33"/>
      <c r="C23" s="33"/>
      <c r="D23" s="34"/>
      <c r="E23" s="23"/>
      <c r="F23" s="33"/>
      <c r="G23" s="59" t="s">
        <v>25</v>
      </c>
      <c r="H23" s="23"/>
      <c r="I23" s="80">
        <v>3.7499999999999999E-2</v>
      </c>
      <c r="J23" s="24" t="s">
        <v>26</v>
      </c>
    </row>
    <row r="24" spans="1:18" x14ac:dyDescent="0.25">
      <c r="A24" s="35"/>
      <c r="B24" s="36"/>
      <c r="C24" s="36"/>
      <c r="D24" s="37"/>
      <c r="E24" s="36"/>
      <c r="F24" s="36"/>
      <c r="G24" s="25"/>
      <c r="I24" s="81"/>
      <c r="J24" s="26"/>
    </row>
    <row r="25" spans="1:18" x14ac:dyDescent="0.25">
      <c r="A25" s="35"/>
      <c r="B25" s="36"/>
      <c r="C25" s="36"/>
      <c r="D25" s="38"/>
      <c r="F25" s="36"/>
      <c r="G25" s="25" t="s">
        <v>27</v>
      </c>
      <c r="I25" s="82">
        <f>(I27-I23)*I29</f>
        <v>6.1750000000000013E-2</v>
      </c>
      <c r="J25" s="26"/>
    </row>
    <row r="26" spans="1:18" x14ac:dyDescent="0.25">
      <c r="A26" s="35"/>
      <c r="B26" s="36"/>
      <c r="C26" s="36"/>
      <c r="D26" s="38"/>
      <c r="F26" s="36"/>
      <c r="G26" s="25"/>
      <c r="I26" s="81"/>
      <c r="J26" s="26"/>
    </row>
    <row r="27" spans="1:18" x14ac:dyDescent="0.25">
      <c r="A27" s="35"/>
      <c r="B27" s="36"/>
      <c r="C27" s="36"/>
      <c r="D27" s="38"/>
      <c r="F27" s="36"/>
      <c r="G27" s="25" t="s">
        <v>28</v>
      </c>
      <c r="I27" s="83">
        <v>7.0000000000000007E-2</v>
      </c>
      <c r="J27" s="26" t="s">
        <v>29</v>
      </c>
    </row>
    <row r="28" spans="1:18" x14ac:dyDescent="0.25">
      <c r="A28" s="35"/>
      <c r="B28" s="36"/>
      <c r="C28" s="36"/>
      <c r="D28" s="39"/>
      <c r="F28" s="36"/>
      <c r="G28" s="25"/>
      <c r="I28" s="81"/>
      <c r="J28" s="26"/>
    </row>
    <row r="29" spans="1:18" x14ac:dyDescent="0.25">
      <c r="A29" s="35"/>
      <c r="B29" s="36"/>
      <c r="C29" s="36"/>
      <c r="D29" s="39"/>
      <c r="F29" s="36"/>
      <c r="G29" s="25" t="s">
        <v>35</v>
      </c>
      <c r="I29" s="81">
        <v>1.9</v>
      </c>
      <c r="J29" s="26" t="s">
        <v>30</v>
      </c>
    </row>
    <row r="30" spans="1:18" x14ac:dyDescent="0.25">
      <c r="A30" s="35"/>
      <c r="B30" s="36"/>
      <c r="C30" s="36"/>
      <c r="D30" s="40"/>
      <c r="F30" s="36"/>
      <c r="G30" s="25"/>
      <c r="I30" s="81"/>
      <c r="J30" s="26"/>
    </row>
    <row r="31" spans="1:18" x14ac:dyDescent="0.25">
      <c r="A31" s="35"/>
      <c r="B31" s="36"/>
      <c r="C31" s="36"/>
      <c r="D31" s="37"/>
      <c r="F31" s="36"/>
      <c r="G31" s="25" t="s">
        <v>31</v>
      </c>
      <c r="I31" s="83">
        <f>I23+(I27-I23)*I29</f>
        <v>9.9250000000000005E-2</v>
      </c>
      <c r="J31" s="26" t="s">
        <v>32</v>
      </c>
    </row>
    <row r="32" spans="1:18" x14ac:dyDescent="0.25">
      <c r="A32" s="25"/>
      <c r="C32" s="41"/>
      <c r="E32" s="36"/>
      <c r="F32" s="36"/>
      <c r="G32" s="25"/>
      <c r="J32" s="26"/>
    </row>
    <row r="33" spans="1:10" x14ac:dyDescent="0.25">
      <c r="A33" s="25"/>
      <c r="G33" s="78" t="s">
        <v>34</v>
      </c>
      <c r="H33" s="22"/>
      <c r="I33" s="79">
        <f>I31</f>
        <v>9.9250000000000005E-2</v>
      </c>
      <c r="J33" s="26"/>
    </row>
    <row r="34" spans="1:10" x14ac:dyDescent="0.25">
      <c r="A34" s="35" t="s">
        <v>7</v>
      </c>
      <c r="B34" s="36"/>
      <c r="C34" s="42"/>
      <c r="D34" s="27"/>
      <c r="G34" s="25"/>
      <c r="J34" s="26"/>
    </row>
    <row r="35" spans="1:10" ht="15.75" hidden="1" customHeight="1" x14ac:dyDescent="0.25">
      <c r="A35" s="25"/>
      <c r="G35" s="25"/>
      <c r="J35" s="26"/>
    </row>
    <row r="36" spans="1:10" ht="15.75" hidden="1" customHeight="1" x14ac:dyDescent="0.25">
      <c r="A36" s="25"/>
      <c r="B36" s="1" t="s">
        <v>8</v>
      </c>
      <c r="D36" s="43">
        <v>0.08</v>
      </c>
      <c r="G36" s="25"/>
      <c r="J36" s="26"/>
    </row>
    <row r="37" spans="1:10" ht="15.75" hidden="1" customHeight="1" x14ac:dyDescent="0.25">
      <c r="A37" s="25"/>
      <c r="G37" s="25"/>
      <c r="J37" s="26"/>
    </row>
    <row r="38" spans="1:10" ht="15.75" hidden="1" customHeight="1" x14ac:dyDescent="0.25">
      <c r="A38" s="25"/>
      <c r="G38" s="25"/>
      <c r="J38" s="26"/>
    </row>
    <row r="39" spans="1:10" ht="15.75" hidden="1" customHeight="1" x14ac:dyDescent="0.25">
      <c r="A39" s="25"/>
      <c r="G39" s="25"/>
      <c r="J39" s="26"/>
    </row>
    <row r="40" spans="1:10" hidden="1" x14ac:dyDescent="0.25">
      <c r="A40" s="25"/>
      <c r="B40" s="41"/>
      <c r="C40" s="41">
        <v>0.12</v>
      </c>
      <c r="D40" s="41" t="e">
        <f>((NPV(C40,$G$15:$Q$15)+(#REF!*(1+#REF!)/(C40-#REF!))/(1+C40)^(2040-2020))/$D$50)/$C$51-1</f>
        <v>#REF!</v>
      </c>
      <c r="G40" s="25"/>
      <c r="J40" s="26"/>
    </row>
    <row r="41" spans="1:10" hidden="1" x14ac:dyDescent="0.25">
      <c r="A41" s="25"/>
      <c r="B41" s="41"/>
      <c r="C41" s="41">
        <v>0.14000000000000001</v>
      </c>
      <c r="D41" s="41" t="e">
        <f>((NPV(C41,$G$15:$Q$15)+(#REF!*(1+#REF!)/(C41-#REF!))/(1+C41)^(2040-2020))/$D$50)/$C$51-1</f>
        <v>#REF!</v>
      </c>
      <c r="G41" s="25"/>
      <c r="J41" s="26"/>
    </row>
    <row r="42" spans="1:10" hidden="1" x14ac:dyDescent="0.25">
      <c r="A42" s="25"/>
      <c r="B42" s="41"/>
      <c r="C42" s="41">
        <v>0.16</v>
      </c>
      <c r="D42" s="41" t="e">
        <f>((NPV(C42,$G$15:$Q$15)+(#REF!*(1+#REF!)/(C42-#REF!))/(1+C42)^(2040-2020))/$D$50)/$C$51-1</f>
        <v>#REF!</v>
      </c>
      <c r="G42" s="25"/>
      <c r="J42" s="26"/>
    </row>
    <row r="43" spans="1:10" hidden="1" x14ac:dyDescent="0.25">
      <c r="A43" s="25"/>
      <c r="B43" s="41"/>
      <c r="C43" s="41">
        <v>0.18</v>
      </c>
      <c r="D43" s="41" t="e">
        <f>((NPV(C43,$G$15:$Q$15)+(#REF!*(1+#REF!)/(C43-#REF!))/(1+C43)^(2040-2020))/$D$50)/$C$51-1</f>
        <v>#REF!</v>
      </c>
      <c r="G43" s="25"/>
      <c r="J43" s="26"/>
    </row>
    <row r="44" spans="1:10" hidden="1" x14ac:dyDescent="0.25">
      <c r="A44" s="25"/>
      <c r="B44" s="41"/>
      <c r="C44" s="41">
        <v>0.2</v>
      </c>
      <c r="D44" s="41" t="e">
        <f>((NPV(C44,$G$15:$Q$15)+(#REF!*(1+#REF!)/(C44-#REF!))/(1+C44)^(2040-2020))/$D$50)/$C$51-1</f>
        <v>#REF!</v>
      </c>
      <c r="G44" s="25"/>
      <c r="J44" s="26"/>
    </row>
    <row r="45" spans="1:10" x14ac:dyDescent="0.25">
      <c r="A45" s="25"/>
      <c r="G45" s="25"/>
      <c r="J45" s="26"/>
    </row>
    <row r="46" spans="1:10" ht="16.5" thickBot="1" x14ac:dyDescent="0.3">
      <c r="A46" s="28"/>
      <c r="B46" s="29" t="s">
        <v>20</v>
      </c>
      <c r="C46" s="29"/>
      <c r="D46" s="44">
        <f>I33</f>
        <v>9.9250000000000005E-2</v>
      </c>
      <c r="E46" s="29"/>
      <c r="F46" s="29"/>
      <c r="G46" s="28"/>
      <c r="H46" s="29"/>
      <c r="I46" s="29"/>
      <c r="J46" s="30"/>
    </row>
    <row r="48" spans="1:10" x14ac:dyDescent="0.25">
      <c r="A48" s="16"/>
      <c r="B48" s="17"/>
      <c r="C48" s="85">
        <v>44589</v>
      </c>
      <c r="D48" s="18" t="s">
        <v>3</v>
      </c>
      <c r="E48" s="19"/>
      <c r="F48" s="20"/>
      <c r="G48" s="21"/>
      <c r="H48" s="21"/>
      <c r="I48" s="21"/>
    </row>
    <row r="49" spans="1:17" x14ac:dyDescent="0.25">
      <c r="A49" s="45" t="s">
        <v>0</v>
      </c>
      <c r="B49" s="46" t="s">
        <v>5</v>
      </c>
      <c r="C49" s="56">
        <f>C50*C51</f>
        <v>17057.657359999997</v>
      </c>
      <c r="D49" s="47">
        <f>SUM(G19:Q19)</f>
        <v>9321.7795814231613</v>
      </c>
      <c r="E49" s="46" t="s">
        <v>47</v>
      </c>
    </row>
    <row r="50" spans="1:17" x14ac:dyDescent="0.25">
      <c r="A50" s="45"/>
      <c r="B50" s="46" t="s">
        <v>11</v>
      </c>
      <c r="C50" s="56">
        <v>321.17599999999999</v>
      </c>
      <c r="D50" s="56">
        <f>C50</f>
        <v>321.17599999999999</v>
      </c>
      <c r="E50" s="46"/>
    </row>
    <row r="51" spans="1:17" x14ac:dyDescent="0.25">
      <c r="A51" s="45"/>
      <c r="B51" s="46" t="s">
        <v>13</v>
      </c>
      <c r="C51" s="89">
        <v>53.11</v>
      </c>
      <c r="D51" s="56">
        <f>D49/(D50)</f>
        <v>29.023898365454336</v>
      </c>
      <c r="E51" s="46" t="s">
        <v>47</v>
      </c>
    </row>
    <row r="52" spans="1:17" x14ac:dyDescent="0.25">
      <c r="A52" s="45"/>
      <c r="B52" s="46" t="s">
        <v>2</v>
      </c>
      <c r="C52" s="46"/>
      <c r="D52" s="57">
        <f>IF(C51/D51-1&gt;0,0,C51/D51-1)*-1</f>
        <v>0</v>
      </c>
      <c r="E52" s="46"/>
    </row>
    <row r="53" spans="1:17" x14ac:dyDescent="0.25">
      <c r="A53" s="45"/>
      <c r="B53" s="46" t="s">
        <v>14</v>
      </c>
      <c r="C53" s="46"/>
      <c r="D53" s="58">
        <f>IF(C51/D51-1&lt;0,0,C51/D51-1)</f>
        <v>0.82987134709698829</v>
      </c>
      <c r="E53" s="46"/>
    </row>
    <row r="54" spans="1:17" x14ac:dyDescent="0.25">
      <c r="A54" s="46"/>
      <c r="B54" s="46"/>
      <c r="C54" s="46"/>
      <c r="D54" s="48"/>
      <c r="E54" s="48"/>
    </row>
    <row r="55" spans="1:17" x14ac:dyDescent="0.25">
      <c r="A55" s="48" t="s">
        <v>19</v>
      </c>
      <c r="B55" s="46"/>
      <c r="C55" s="50">
        <f>D46</f>
        <v>9.9250000000000005E-2</v>
      </c>
      <c r="D55" s="49"/>
      <c r="E55" s="46"/>
      <c r="J55" s="72"/>
    </row>
    <row r="56" spans="1:17" x14ac:dyDescent="0.25">
      <c r="A56" s="48"/>
      <c r="B56" s="46"/>
      <c r="C56" s="50"/>
      <c r="D56" s="49"/>
      <c r="E56" s="46"/>
    </row>
    <row r="57" spans="1:17" hidden="1" x14ac:dyDescent="0.25">
      <c r="A57" s="48" t="s">
        <v>22</v>
      </c>
      <c r="B57" s="75">
        <v>0.108</v>
      </c>
      <c r="C57" s="50"/>
      <c r="D57" s="76">
        <f>SUM(H57:Q57)*1000</f>
        <v>7385289.5468746964</v>
      </c>
      <c r="E57" s="46"/>
      <c r="F57" s="1" t="s">
        <v>23</v>
      </c>
      <c r="H57" s="1">
        <f>G15/(1+$B$57)</f>
        <v>-178.53373646209388</v>
      </c>
      <c r="I57" s="1">
        <f>H15/(1+$B$57)^2</f>
        <v>-176.53380729580729</v>
      </c>
      <c r="J57" s="1">
        <f>I15/(1+$B$57)^3</f>
        <v>-166.95505544785519</v>
      </c>
      <c r="K57" s="1">
        <f>J15/(1+$B$57)^4</f>
        <v>96.67258709089775</v>
      </c>
      <c r="L57" s="1">
        <f>K15/(1+$B$57)^5</f>
        <v>130.98365472742805</v>
      </c>
      <c r="M57" s="1">
        <f>L15/(1+$B$57)^6</f>
        <v>206.9935124364109</v>
      </c>
      <c r="N57" s="1">
        <f>M15/(1+$B$57)^7</f>
        <v>295.91852319429131</v>
      </c>
      <c r="O57" s="1">
        <f>N15/(1+$B$57)^8</f>
        <v>433.99602905299935</v>
      </c>
      <c r="P57" s="1">
        <f>O15/(1+$B$57)^9</f>
        <v>501.36725377963819</v>
      </c>
      <c r="Q57" s="1">
        <f>(Q15/(B57-Q12))/(1+B57)^10</f>
        <v>6241.3805857987873</v>
      </c>
    </row>
    <row r="58" spans="1:17" ht="16.5" thickBot="1" x14ac:dyDescent="0.3">
      <c r="A58" s="22"/>
      <c r="C58" s="67"/>
      <c r="D58" s="68"/>
    </row>
    <row r="59" spans="1:17" x14ac:dyDescent="0.25">
      <c r="A59" s="59" t="s">
        <v>41</v>
      </c>
      <c r="B59" s="23"/>
      <c r="C59" s="69">
        <v>26</v>
      </c>
      <c r="D59" s="23"/>
      <c r="E59" s="24"/>
    </row>
    <row r="60" spans="1:17" x14ac:dyDescent="0.25">
      <c r="A60" s="25" t="s">
        <v>21</v>
      </c>
      <c r="C60" s="70" t="s">
        <v>40</v>
      </c>
      <c r="E60" s="26"/>
    </row>
    <row r="61" spans="1:17" x14ac:dyDescent="0.25">
      <c r="A61" s="25"/>
      <c r="C61" s="70"/>
      <c r="E61" s="26"/>
    </row>
    <row r="62" spans="1:17" x14ac:dyDescent="0.25">
      <c r="A62" s="25" t="s">
        <v>37</v>
      </c>
      <c r="C62" s="70"/>
      <c r="E62" s="60">
        <f>P17*C59</f>
        <v>121.56009561420738</v>
      </c>
    </row>
    <row r="63" spans="1:17" x14ac:dyDescent="0.25">
      <c r="A63" s="25"/>
      <c r="C63" s="70"/>
      <c r="E63" s="26"/>
    </row>
    <row r="64" spans="1:17" x14ac:dyDescent="0.25">
      <c r="A64" s="25" t="s">
        <v>17</v>
      </c>
      <c r="C64" s="71">
        <v>0</v>
      </c>
      <c r="E64" s="26"/>
    </row>
    <row r="65" spans="1:5" x14ac:dyDescent="0.25">
      <c r="A65" s="25"/>
      <c r="E65" s="26"/>
    </row>
    <row r="66" spans="1:5" x14ac:dyDescent="0.25">
      <c r="A66" s="25" t="s">
        <v>18</v>
      </c>
      <c r="E66" s="60">
        <f>SUM(G17:Q17)*C64</f>
        <v>0</v>
      </c>
    </row>
    <row r="67" spans="1:5" x14ac:dyDescent="0.25">
      <c r="A67" s="25"/>
      <c r="E67" s="61"/>
    </row>
    <row r="68" spans="1:5" x14ac:dyDescent="0.25">
      <c r="A68" s="62" t="s">
        <v>48</v>
      </c>
      <c r="E68" s="63">
        <f>(E66*0.25)*-1</f>
        <v>0</v>
      </c>
    </row>
    <row r="69" spans="1:5" x14ac:dyDescent="0.25">
      <c r="A69" s="25"/>
      <c r="C69" s="41"/>
      <c r="D69" s="41"/>
      <c r="E69" s="64"/>
    </row>
    <row r="70" spans="1:5" x14ac:dyDescent="0.25">
      <c r="A70" s="25" t="s">
        <v>42</v>
      </c>
      <c r="E70" s="60">
        <f>SUM(E62:E68)</f>
        <v>121.56009561420738</v>
      </c>
    </row>
    <row r="71" spans="1:5" x14ac:dyDescent="0.25">
      <c r="A71" s="25"/>
      <c r="E71" s="60"/>
    </row>
    <row r="72" spans="1:5" x14ac:dyDescent="0.25">
      <c r="A72" s="25" t="s">
        <v>43</v>
      </c>
      <c r="E72" s="64">
        <f>E70/C51-1</f>
        <v>1.2888362947506566</v>
      </c>
    </row>
    <row r="73" spans="1:5" x14ac:dyDescent="0.25">
      <c r="A73" s="25"/>
      <c r="E73" s="26"/>
    </row>
    <row r="74" spans="1:5" ht="16.5" thickBot="1" x14ac:dyDescent="0.3">
      <c r="A74" s="65" t="s">
        <v>44</v>
      </c>
      <c r="B74" s="66"/>
      <c r="C74" s="66"/>
      <c r="D74" s="66"/>
      <c r="E74" s="104">
        <f>(E70/C51)^(1/9)-1</f>
        <v>9.6370123647808503E-2</v>
      </c>
    </row>
  </sheetData>
  <conditionalFormatting sqref="L6:L8">
    <cfRule type="top10" dxfId="7" priority="6" percent="1" rank="10"/>
  </conditionalFormatting>
  <conditionalFormatting sqref="G6:J8">
    <cfRule type="top10" dxfId="6" priority="5" percent="1" rank="10"/>
  </conditionalFormatting>
  <conditionalFormatting sqref="L9">
    <cfRule type="top10" dxfId="5" priority="4" percent="1" rank="10"/>
  </conditionalFormatting>
  <conditionalFormatting sqref="L2:L5">
    <cfRule type="top10" dxfId="4" priority="3" percent="1" rank="10"/>
  </conditionalFormatting>
  <conditionalFormatting sqref="C32">
    <cfRule type="colorScale" priority="2">
      <colorScale>
        <cfvo type="num" val="0"/>
        <cfvo type="percentile" val="7.0000000000000007E-2"/>
        <cfvo type="num" val="0.15"/>
        <color rgb="FFFFE1E2"/>
        <color rgb="FFFFFAE0"/>
        <color rgb="FF9CF5DC"/>
      </colorScale>
    </cfRule>
  </conditionalFormatting>
  <conditionalFormatting sqref="D40:D44">
    <cfRule type="colorScale" priority="1">
      <colorScale>
        <cfvo type="min"/>
        <cfvo type="num" val="0"/>
        <cfvo type="max"/>
        <color rgb="FFFFE1E2"/>
        <color rgb="FFFFFAE0"/>
        <color rgb="FF9CF5DC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52E19-683E-48EC-9C64-69D5A2053526}">
  <dimension ref="A2:AB74"/>
  <sheetViews>
    <sheetView zoomScaleNormal="100" workbookViewId="0">
      <selection activeCell="P13" sqref="P13"/>
    </sheetView>
  </sheetViews>
  <sheetFormatPr baseColWidth="10" defaultColWidth="10.625" defaultRowHeight="15.75" x14ac:dyDescent="0.25"/>
  <cols>
    <col min="1" max="1" width="27.125" style="1" bestFit="1" customWidth="1"/>
    <col min="2" max="2" width="32.375" style="1" customWidth="1"/>
    <col min="3" max="17" width="16.25" style="1" customWidth="1"/>
    <col min="18" max="18" width="10.625" style="1" customWidth="1"/>
    <col min="19" max="16384" width="10.625" style="1"/>
  </cols>
  <sheetData>
    <row r="2" spans="1:28" ht="26.25" x14ac:dyDescent="0.4">
      <c r="B2" s="31" t="s">
        <v>10</v>
      </c>
    </row>
    <row r="4" spans="1:28" x14ac:dyDescent="0.25">
      <c r="B4" s="22" t="s">
        <v>46</v>
      </c>
    </row>
    <row r="6" spans="1:28" x14ac:dyDescent="0.25">
      <c r="B6" s="1" t="s">
        <v>33</v>
      </c>
    </row>
    <row r="9" spans="1:28" s="8" customFormat="1" x14ac:dyDescent="0.25">
      <c r="G9" s="9" t="s">
        <v>9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x14ac:dyDescent="0.25">
      <c r="A10" s="4"/>
      <c r="B10" s="4"/>
      <c r="C10" s="11">
        <v>2018</v>
      </c>
      <c r="D10" s="11">
        <v>2019</v>
      </c>
      <c r="E10" s="11">
        <v>2020</v>
      </c>
      <c r="F10" s="11">
        <v>2021</v>
      </c>
      <c r="G10" s="55">
        <v>2022</v>
      </c>
      <c r="H10" s="55">
        <v>2023</v>
      </c>
      <c r="I10" s="55">
        <v>2024</v>
      </c>
      <c r="J10" s="55">
        <v>2025</v>
      </c>
      <c r="K10" s="55">
        <v>2026</v>
      </c>
      <c r="L10" s="55">
        <v>2027</v>
      </c>
      <c r="M10" s="55">
        <v>2028</v>
      </c>
      <c r="N10" s="55">
        <v>2029</v>
      </c>
      <c r="O10" s="55">
        <v>2030</v>
      </c>
      <c r="P10" s="55">
        <v>2031</v>
      </c>
      <c r="Q10" s="55" t="s">
        <v>45</v>
      </c>
    </row>
    <row r="11" spans="1:28" x14ac:dyDescent="0.25">
      <c r="A11" s="5"/>
      <c r="B11" s="4" t="s">
        <v>4</v>
      </c>
      <c r="C11" s="84">
        <v>192.67400000000001</v>
      </c>
      <c r="D11" s="84">
        <v>287.02199999999999</v>
      </c>
      <c r="E11" s="84">
        <v>431.05900000000003</v>
      </c>
      <c r="F11" s="84">
        <v>656.42600000000004</v>
      </c>
      <c r="G11" s="74">
        <v>974.46</v>
      </c>
      <c r="H11" s="74">
        <v>1313.48</v>
      </c>
      <c r="I11" s="74">
        <v>1746.93</v>
      </c>
      <c r="J11" s="74">
        <f t="shared" ref="J11" si="0">I11*(1+J12)</f>
        <v>2393.2941000000001</v>
      </c>
      <c r="K11" s="74">
        <f t="shared" ref="K11" si="1">J11*(1+K12)</f>
        <v>3278.8129170000002</v>
      </c>
      <c r="L11" s="74">
        <f t="shared" ref="L11" si="2">K11*(1+L12)</f>
        <v>4491.9736962900006</v>
      </c>
      <c r="M11" s="74">
        <f t="shared" ref="M11:Q11" si="3">L11*(1+M12)</f>
        <v>6154.003963917301</v>
      </c>
      <c r="N11" s="74">
        <f t="shared" si="3"/>
        <v>8430.9854305667031</v>
      </c>
      <c r="O11" s="74">
        <f t="shared" si="3"/>
        <v>11550.450039876385</v>
      </c>
      <c r="P11" s="74">
        <f t="shared" si="3"/>
        <v>13514.02654665537</v>
      </c>
      <c r="Q11" s="74">
        <f t="shared" si="3"/>
        <v>13784.307077588477</v>
      </c>
    </row>
    <row r="12" spans="1:28" x14ac:dyDescent="0.25">
      <c r="A12" s="5"/>
      <c r="B12" s="4" t="s">
        <v>1</v>
      </c>
      <c r="C12" s="88"/>
      <c r="D12" s="91">
        <f t="shared" ref="D12:F12" si="4">D11/C11-1</f>
        <v>0.48967686351038542</v>
      </c>
      <c r="E12" s="91">
        <f t="shared" si="4"/>
        <v>0.50183261213426156</v>
      </c>
      <c r="F12" s="91">
        <f t="shared" si="4"/>
        <v>0.52282170190159594</v>
      </c>
      <c r="G12" s="87">
        <v>0.37</v>
      </c>
      <c r="H12" s="87">
        <f>G12</f>
        <v>0.37</v>
      </c>
      <c r="I12" s="87">
        <f t="shared" ref="I12:O12" si="5">H12</f>
        <v>0.37</v>
      </c>
      <c r="J12" s="87">
        <f t="shared" si="5"/>
        <v>0.37</v>
      </c>
      <c r="K12" s="87">
        <f t="shared" si="5"/>
        <v>0.37</v>
      </c>
      <c r="L12" s="87">
        <f t="shared" si="5"/>
        <v>0.37</v>
      </c>
      <c r="M12" s="87">
        <f t="shared" si="5"/>
        <v>0.37</v>
      </c>
      <c r="N12" s="87">
        <f t="shared" si="5"/>
        <v>0.37</v>
      </c>
      <c r="O12" s="87">
        <f t="shared" si="5"/>
        <v>0.37</v>
      </c>
      <c r="P12" s="87">
        <v>0.17</v>
      </c>
      <c r="Q12" s="87">
        <v>0.02</v>
      </c>
    </row>
    <row r="13" spans="1:28" ht="15.95" customHeight="1" x14ac:dyDescent="0.25">
      <c r="A13" s="5"/>
      <c r="B13" s="4" t="s">
        <v>15</v>
      </c>
      <c r="C13" s="90">
        <v>-0.29601814463809334</v>
      </c>
      <c r="D13" s="90">
        <v>-0.24804370396694331</v>
      </c>
      <c r="E13" s="90">
        <v>-7.862496781183087E-2</v>
      </c>
      <c r="F13" s="90">
        <v>-1.0700368358352655E-2</v>
      </c>
      <c r="G13" s="86">
        <v>3.1600000000000003E-2</v>
      </c>
      <c r="H13" s="86">
        <v>3.5999999999999997E-2</v>
      </c>
      <c r="I13" s="86">
        <v>4.6100000000000002E-2</v>
      </c>
      <c r="J13" s="86">
        <v>7.1900000000000006E-2</v>
      </c>
      <c r="K13" s="86">
        <v>7.7100000000000002E-2</v>
      </c>
      <c r="L13" s="86">
        <v>0.24</v>
      </c>
      <c r="M13" s="86">
        <v>0.24</v>
      </c>
      <c r="N13" s="86">
        <v>0.245</v>
      </c>
      <c r="O13" s="86">
        <v>0.245</v>
      </c>
      <c r="P13" s="86">
        <v>0.25</v>
      </c>
      <c r="Q13" s="86">
        <v>0.25</v>
      </c>
    </row>
    <row r="14" spans="1:28" ht="17.100000000000001" customHeight="1" x14ac:dyDescent="0.25">
      <c r="A14" s="5"/>
      <c r="B14" s="4" t="s">
        <v>16</v>
      </c>
      <c r="C14" s="84">
        <f>C11*C13</f>
        <v>-57.034999999999997</v>
      </c>
      <c r="D14" s="84">
        <f t="shared" ref="D14:Q14" si="6">D11*D13</f>
        <v>-71.194000000000003</v>
      </c>
      <c r="E14" s="84">
        <f t="shared" si="6"/>
        <v>-33.892000000000003</v>
      </c>
      <c r="F14" s="84">
        <f t="shared" si="6"/>
        <v>-7.024</v>
      </c>
      <c r="G14" s="74">
        <f t="shared" si="6"/>
        <v>30.792936000000005</v>
      </c>
      <c r="H14" s="74">
        <f t="shared" si="6"/>
        <v>47.28528</v>
      </c>
      <c r="I14" s="74">
        <f t="shared" si="6"/>
        <v>80.533473000000001</v>
      </c>
      <c r="J14" s="74">
        <f t="shared" si="6"/>
        <v>172.07784579000003</v>
      </c>
      <c r="K14" s="74">
        <f t="shared" si="6"/>
        <v>252.79647590070002</v>
      </c>
      <c r="L14" s="74">
        <f t="shared" si="6"/>
        <v>1078.0736871096001</v>
      </c>
      <c r="M14" s="74">
        <f t="shared" si="6"/>
        <v>1476.9609513401522</v>
      </c>
      <c r="N14" s="74">
        <f t="shared" si="6"/>
        <v>2065.5914304888424</v>
      </c>
      <c r="O14" s="74">
        <f>O11*O13</f>
        <v>2829.860259769714</v>
      </c>
      <c r="P14" s="74">
        <f t="shared" si="6"/>
        <v>3378.5066366638425</v>
      </c>
      <c r="Q14" s="74">
        <f t="shared" si="6"/>
        <v>3446.0767693971193</v>
      </c>
    </row>
    <row r="15" spans="1:28" x14ac:dyDescent="0.25">
      <c r="A15" s="102">
        <v>0.2</v>
      </c>
      <c r="B15" s="4" t="s">
        <v>39</v>
      </c>
      <c r="C15" s="84">
        <v>-9.7149999999999999</v>
      </c>
      <c r="D15" s="84">
        <v>-87.164000000000001</v>
      </c>
      <c r="E15" s="84">
        <v>-105.828</v>
      </c>
      <c r="F15" s="84">
        <v>-119.37</v>
      </c>
      <c r="G15" s="74">
        <v>-197.81538000000003</v>
      </c>
      <c r="H15" s="74">
        <v>-216.72420000000002</v>
      </c>
      <c r="I15" s="74">
        <v>-227.10090000000002</v>
      </c>
      <c r="J15" s="74">
        <f t="shared" ref="J15:Q15" si="7">J14*(1-$A$15)</f>
        <v>137.66227663200002</v>
      </c>
      <c r="K15" s="74">
        <f t="shared" si="7"/>
        <v>202.23718072056002</v>
      </c>
      <c r="L15" s="74">
        <f t="shared" si="7"/>
        <v>862.45894968768016</v>
      </c>
      <c r="M15" s="74">
        <f t="shared" si="7"/>
        <v>1181.5687610721218</v>
      </c>
      <c r="N15" s="74">
        <f t="shared" si="7"/>
        <v>1652.4731443910741</v>
      </c>
      <c r="O15" s="74">
        <f>O14*(1-$A$15)</f>
        <v>2263.8882078157712</v>
      </c>
      <c r="P15" s="74">
        <f t="shared" si="7"/>
        <v>2702.8053093310741</v>
      </c>
      <c r="Q15" s="74">
        <f t="shared" si="7"/>
        <v>2756.8614155176956</v>
      </c>
    </row>
    <row r="16" spans="1:28" ht="32.25" hidden="1" thickBot="1" x14ac:dyDescent="0.3">
      <c r="A16" s="13" t="s">
        <v>6</v>
      </c>
      <c r="B16" s="14"/>
      <c r="C16" s="15">
        <f t="shared" ref="C16:J16" si="8">C15/C14</f>
        <v>0.17033400543525906</v>
      </c>
      <c r="D16" s="15">
        <f t="shared" si="8"/>
        <v>1.224316655897969</v>
      </c>
      <c r="E16" s="15">
        <f t="shared" si="8"/>
        <v>3.1225067862622446</v>
      </c>
      <c r="F16" s="15">
        <f t="shared" si="8"/>
        <v>16.994589977220958</v>
      </c>
      <c r="G16" s="15">
        <f t="shared" si="8"/>
        <v>-6.4240506329113929</v>
      </c>
      <c r="H16" s="15">
        <f t="shared" si="8"/>
        <v>-4.5833333333333339</v>
      </c>
      <c r="I16" s="15">
        <f t="shared" si="8"/>
        <v>-2.8199566160520608</v>
      </c>
      <c r="J16" s="15">
        <f t="shared" si="8"/>
        <v>0.79999999999999993</v>
      </c>
    </row>
    <row r="17" spans="1:18" x14ac:dyDescent="0.25">
      <c r="A17" s="2" t="s">
        <v>36</v>
      </c>
      <c r="C17" s="84"/>
      <c r="D17" s="84"/>
      <c r="E17" s="84"/>
      <c r="F17" s="84"/>
      <c r="G17" s="74">
        <f>G15/G18</f>
        <v>-0.61590959473933304</v>
      </c>
      <c r="H17" s="74">
        <f t="shared" ref="H17:O17" si="9">H15/H18</f>
        <v>-0.67478329638578238</v>
      </c>
      <c r="I17" s="74">
        <f t="shared" si="9"/>
        <v>-0.70709175031758298</v>
      </c>
      <c r="J17" s="74">
        <f t="shared" si="9"/>
        <v>0.42861943804020231</v>
      </c>
      <c r="K17" s="74">
        <f t="shared" si="9"/>
        <v>0.62967712631255146</v>
      </c>
      <c r="L17" s="74">
        <f t="shared" si="9"/>
        <v>2.6853156826402973</v>
      </c>
      <c r="M17" s="74">
        <f t="shared" si="9"/>
        <v>3.6788824852172075</v>
      </c>
      <c r="N17" s="74">
        <f t="shared" si="9"/>
        <v>5.1450704423464835</v>
      </c>
      <c r="O17" s="74">
        <f t="shared" si="9"/>
        <v>7.0487465060146812</v>
      </c>
      <c r="P17" s="74">
        <f>P15/P18</f>
        <v>8.4153402163644682</v>
      </c>
      <c r="Q17" s="74"/>
    </row>
    <row r="18" spans="1:18" ht="32.25" thickBot="1" x14ac:dyDescent="0.3">
      <c r="A18" s="2" t="s">
        <v>38</v>
      </c>
      <c r="C18" s="84"/>
      <c r="D18" s="84"/>
      <c r="E18" s="84"/>
      <c r="F18" s="84"/>
      <c r="G18" s="74">
        <f>C50</f>
        <v>321.17599999999999</v>
      </c>
      <c r="H18" s="74">
        <f>G18*1</f>
        <v>321.17599999999999</v>
      </c>
      <c r="I18" s="74">
        <f t="shared" ref="I18:P18" si="10">H18*1</f>
        <v>321.17599999999999</v>
      </c>
      <c r="J18" s="74">
        <f t="shared" si="10"/>
        <v>321.17599999999999</v>
      </c>
      <c r="K18" s="74">
        <f t="shared" si="10"/>
        <v>321.17599999999999</v>
      </c>
      <c r="L18" s="74">
        <f t="shared" si="10"/>
        <v>321.17599999999999</v>
      </c>
      <c r="M18" s="74">
        <f t="shared" si="10"/>
        <v>321.17599999999999</v>
      </c>
      <c r="N18" s="74">
        <f t="shared" si="10"/>
        <v>321.17599999999999</v>
      </c>
      <c r="O18" s="74">
        <f t="shared" si="10"/>
        <v>321.17599999999999</v>
      </c>
      <c r="P18" s="74">
        <f t="shared" si="10"/>
        <v>321.17599999999999</v>
      </c>
      <c r="Q18" s="74"/>
    </row>
    <row r="19" spans="1:18" ht="16.5" thickBot="1" x14ac:dyDescent="0.3">
      <c r="A19" s="2"/>
      <c r="E19" s="51" t="s">
        <v>12</v>
      </c>
      <c r="F19" s="52"/>
      <c r="G19" s="53">
        <f>G15/(1+$C$55)</f>
        <v>-179.95486013190813</v>
      </c>
      <c r="H19" s="53">
        <f>H15/(1+$C$55)^2</f>
        <v>-179.35540126005444</v>
      </c>
      <c r="I19" s="53">
        <f>I15/(1+$C$55)^3</f>
        <v>-170.97374810768807</v>
      </c>
      <c r="J19" s="53">
        <f>J15/(1+$C$55)^4</f>
        <v>94.282057261988243</v>
      </c>
      <c r="K19" s="53">
        <f>K15/(1+$C$55)^5</f>
        <v>126.0023459213028</v>
      </c>
      <c r="L19" s="53">
        <f>L15/(1+$C$55)^6</f>
        <v>488.8319543294831</v>
      </c>
      <c r="M19" s="53">
        <f>M15/(1+$C$55)^7</f>
        <v>609.23336586890321</v>
      </c>
      <c r="N19" s="53">
        <f>N15/(1+$C$55)^8</f>
        <v>775.10870765634672</v>
      </c>
      <c r="O19" s="53">
        <f>O15/(1+$C$55)^9</f>
        <v>966.0213140679507</v>
      </c>
      <c r="P19" s="53">
        <f>P15/(1+$C$55)^10</f>
        <v>1049.1800415492032</v>
      </c>
      <c r="Q19" s="54">
        <f>(Q15/(C55-Q12))/(1+C55)^10</f>
        <v>13503.642175144318</v>
      </c>
    </row>
    <row r="20" spans="1:18" x14ac:dyDescent="0.25">
      <c r="A20" s="2"/>
      <c r="C20" s="77"/>
      <c r="D20" s="42"/>
      <c r="G20" s="6"/>
      <c r="H20" s="7"/>
      <c r="I20" s="6"/>
      <c r="J20" s="6"/>
      <c r="K20" s="6"/>
      <c r="L20" s="6"/>
      <c r="M20" s="6"/>
      <c r="N20" s="6"/>
      <c r="O20" s="6"/>
      <c r="P20" s="3"/>
      <c r="Q20" s="3"/>
      <c r="R20" s="3"/>
    </row>
    <row r="21" spans="1:18" x14ac:dyDescent="0.25">
      <c r="A21" s="2"/>
      <c r="J21" s="103"/>
      <c r="K21" s="103"/>
      <c r="L21" s="103"/>
      <c r="M21" s="103"/>
      <c r="N21" s="103"/>
      <c r="O21" s="103"/>
      <c r="P21" s="103"/>
      <c r="Q21" s="103"/>
      <c r="R21" s="3"/>
    </row>
    <row r="22" spans="1:18" ht="16.5" thickBot="1" x14ac:dyDescent="0.3">
      <c r="P22" s="3"/>
      <c r="Q22" s="3"/>
      <c r="R22" s="3"/>
    </row>
    <row r="23" spans="1:18" x14ac:dyDescent="0.25">
      <c r="A23" s="32" t="s">
        <v>24</v>
      </c>
      <c r="B23" s="33"/>
      <c r="C23" s="33"/>
      <c r="D23" s="34"/>
      <c r="E23" s="23"/>
      <c r="F23" s="33"/>
      <c r="G23" s="59" t="s">
        <v>25</v>
      </c>
      <c r="H23" s="23"/>
      <c r="I23" s="80">
        <v>3.7499999999999999E-2</v>
      </c>
      <c r="J23" s="24" t="s">
        <v>26</v>
      </c>
    </row>
    <row r="24" spans="1:18" x14ac:dyDescent="0.25">
      <c r="A24" s="35"/>
      <c r="B24" s="36"/>
      <c r="C24" s="36"/>
      <c r="D24" s="37"/>
      <c r="E24" s="36"/>
      <c r="F24" s="36"/>
      <c r="G24" s="25"/>
      <c r="I24" s="81"/>
      <c r="J24" s="26"/>
    </row>
    <row r="25" spans="1:18" x14ac:dyDescent="0.25">
      <c r="A25" s="35"/>
      <c r="B25" s="36"/>
      <c r="C25" s="36"/>
      <c r="D25" s="38"/>
      <c r="F25" s="36"/>
      <c r="G25" s="25" t="s">
        <v>27</v>
      </c>
      <c r="I25" s="82">
        <f>(I27-I23)*I29</f>
        <v>6.1750000000000013E-2</v>
      </c>
      <c r="J25" s="26"/>
    </row>
    <row r="26" spans="1:18" x14ac:dyDescent="0.25">
      <c r="A26" s="35"/>
      <c r="B26" s="36"/>
      <c r="C26" s="36"/>
      <c r="D26" s="38"/>
      <c r="F26" s="36"/>
      <c r="G26" s="25"/>
      <c r="I26" s="81"/>
      <c r="J26" s="26"/>
    </row>
    <row r="27" spans="1:18" x14ac:dyDescent="0.25">
      <c r="A27" s="35"/>
      <c r="B27" s="36"/>
      <c r="C27" s="36"/>
      <c r="D27" s="38"/>
      <c r="F27" s="36"/>
      <c r="G27" s="25" t="s">
        <v>28</v>
      </c>
      <c r="I27" s="83">
        <v>7.0000000000000007E-2</v>
      </c>
      <c r="J27" s="26" t="s">
        <v>29</v>
      </c>
    </row>
    <row r="28" spans="1:18" x14ac:dyDescent="0.25">
      <c r="A28" s="35"/>
      <c r="B28" s="36"/>
      <c r="C28" s="36"/>
      <c r="D28" s="39"/>
      <c r="F28" s="36"/>
      <c r="G28" s="25"/>
      <c r="I28" s="81"/>
      <c r="J28" s="26"/>
    </row>
    <row r="29" spans="1:18" x14ac:dyDescent="0.25">
      <c r="A29" s="35"/>
      <c r="B29" s="36"/>
      <c r="C29" s="36"/>
      <c r="D29" s="39"/>
      <c r="F29" s="36"/>
      <c r="G29" s="25" t="s">
        <v>35</v>
      </c>
      <c r="I29" s="81">
        <v>1.9</v>
      </c>
      <c r="J29" s="26" t="s">
        <v>30</v>
      </c>
    </row>
    <row r="30" spans="1:18" x14ac:dyDescent="0.25">
      <c r="A30" s="35"/>
      <c r="B30" s="36"/>
      <c r="C30" s="36"/>
      <c r="D30" s="40"/>
      <c r="F30" s="36"/>
      <c r="G30" s="25"/>
      <c r="I30" s="81"/>
      <c r="J30" s="26"/>
    </row>
    <row r="31" spans="1:18" x14ac:dyDescent="0.25">
      <c r="A31" s="35"/>
      <c r="B31" s="36"/>
      <c r="C31" s="36"/>
      <c r="D31" s="37"/>
      <c r="F31" s="36"/>
      <c r="G31" s="25" t="s">
        <v>31</v>
      </c>
      <c r="I31" s="83">
        <f>I23+(I27-I23)*I29</f>
        <v>9.9250000000000005E-2</v>
      </c>
      <c r="J31" s="26" t="s">
        <v>32</v>
      </c>
    </row>
    <row r="32" spans="1:18" x14ac:dyDescent="0.25">
      <c r="A32" s="25"/>
      <c r="C32" s="41"/>
      <c r="E32" s="36"/>
      <c r="F32" s="36"/>
      <c r="G32" s="25"/>
      <c r="J32" s="26"/>
    </row>
    <row r="33" spans="1:10" x14ac:dyDescent="0.25">
      <c r="A33" s="25"/>
      <c r="G33" s="78" t="s">
        <v>34</v>
      </c>
      <c r="H33" s="22"/>
      <c r="I33" s="79">
        <f>I31</f>
        <v>9.9250000000000005E-2</v>
      </c>
      <c r="J33" s="26"/>
    </row>
    <row r="34" spans="1:10" x14ac:dyDescent="0.25">
      <c r="A34" s="35" t="s">
        <v>7</v>
      </c>
      <c r="B34" s="36"/>
      <c r="C34" s="42"/>
      <c r="D34" s="27"/>
      <c r="G34" s="25"/>
      <c r="J34" s="26"/>
    </row>
    <row r="35" spans="1:10" ht="15.75" hidden="1" customHeight="1" x14ac:dyDescent="0.25">
      <c r="A35" s="25"/>
      <c r="G35" s="25"/>
      <c r="J35" s="26"/>
    </row>
    <row r="36" spans="1:10" ht="15.75" hidden="1" customHeight="1" x14ac:dyDescent="0.25">
      <c r="A36" s="25"/>
      <c r="B36" s="1" t="s">
        <v>8</v>
      </c>
      <c r="D36" s="43">
        <v>0.08</v>
      </c>
      <c r="G36" s="25"/>
      <c r="J36" s="26"/>
    </row>
    <row r="37" spans="1:10" ht="15.75" hidden="1" customHeight="1" x14ac:dyDescent="0.25">
      <c r="A37" s="25"/>
      <c r="G37" s="25"/>
      <c r="J37" s="26"/>
    </row>
    <row r="38" spans="1:10" ht="15.75" hidden="1" customHeight="1" x14ac:dyDescent="0.25">
      <c r="A38" s="25"/>
      <c r="G38" s="25"/>
      <c r="J38" s="26"/>
    </row>
    <row r="39" spans="1:10" ht="15.75" hidden="1" customHeight="1" x14ac:dyDescent="0.25">
      <c r="A39" s="25"/>
      <c r="G39" s="25"/>
      <c r="J39" s="26"/>
    </row>
    <row r="40" spans="1:10" hidden="1" x14ac:dyDescent="0.25">
      <c r="A40" s="25"/>
      <c r="B40" s="41"/>
      <c r="C40" s="41">
        <v>0.12</v>
      </c>
      <c r="D40" s="41" t="e">
        <f>((NPV(C40,$G$15:$Q$15)+(#REF!*(1+#REF!)/(C40-#REF!))/(1+C40)^(2040-2020))/$D$50)/$C$51-1</f>
        <v>#REF!</v>
      </c>
      <c r="G40" s="25"/>
      <c r="J40" s="26"/>
    </row>
    <row r="41" spans="1:10" hidden="1" x14ac:dyDescent="0.25">
      <c r="A41" s="25"/>
      <c r="B41" s="41"/>
      <c r="C41" s="41">
        <v>0.14000000000000001</v>
      </c>
      <c r="D41" s="41" t="e">
        <f>((NPV(C41,$G$15:$Q$15)+(#REF!*(1+#REF!)/(C41-#REF!))/(1+C41)^(2040-2020))/$D$50)/$C$51-1</f>
        <v>#REF!</v>
      </c>
      <c r="G41" s="25"/>
      <c r="J41" s="26"/>
    </row>
    <row r="42" spans="1:10" hidden="1" x14ac:dyDescent="0.25">
      <c r="A42" s="25"/>
      <c r="B42" s="41"/>
      <c r="C42" s="41">
        <v>0.16</v>
      </c>
      <c r="D42" s="41" t="e">
        <f>((NPV(C42,$G$15:$Q$15)+(#REF!*(1+#REF!)/(C42-#REF!))/(1+C42)^(2040-2020))/$D$50)/$C$51-1</f>
        <v>#REF!</v>
      </c>
      <c r="G42" s="25"/>
      <c r="J42" s="26"/>
    </row>
    <row r="43" spans="1:10" hidden="1" x14ac:dyDescent="0.25">
      <c r="A43" s="25"/>
      <c r="B43" s="41"/>
      <c r="C43" s="41">
        <v>0.18</v>
      </c>
      <c r="D43" s="41" t="e">
        <f>((NPV(C43,$G$15:$Q$15)+(#REF!*(1+#REF!)/(C43-#REF!))/(1+C43)^(2040-2020))/$D$50)/$C$51-1</f>
        <v>#REF!</v>
      </c>
      <c r="G43" s="25"/>
      <c r="J43" s="26"/>
    </row>
    <row r="44" spans="1:10" hidden="1" x14ac:dyDescent="0.25">
      <c r="A44" s="25"/>
      <c r="B44" s="41"/>
      <c r="C44" s="41">
        <v>0.2</v>
      </c>
      <c r="D44" s="41" t="e">
        <f>((NPV(C44,$G$15:$Q$15)+(#REF!*(1+#REF!)/(C44-#REF!))/(1+C44)^(2040-2020))/$D$50)/$C$51-1</f>
        <v>#REF!</v>
      </c>
      <c r="G44" s="25"/>
      <c r="J44" s="26"/>
    </row>
    <row r="45" spans="1:10" x14ac:dyDescent="0.25">
      <c r="A45" s="25"/>
      <c r="G45" s="25"/>
      <c r="J45" s="26"/>
    </row>
    <row r="46" spans="1:10" ht="16.5" thickBot="1" x14ac:dyDescent="0.3">
      <c r="A46" s="28"/>
      <c r="B46" s="29" t="s">
        <v>20</v>
      </c>
      <c r="C46" s="29"/>
      <c r="D46" s="44">
        <f>I33</f>
        <v>9.9250000000000005E-2</v>
      </c>
      <c r="E46" s="29"/>
      <c r="F46" s="29"/>
      <c r="G46" s="28"/>
      <c r="H46" s="29"/>
      <c r="I46" s="29"/>
      <c r="J46" s="30"/>
    </row>
    <row r="48" spans="1:10" x14ac:dyDescent="0.25">
      <c r="A48" s="16"/>
      <c r="B48" s="17"/>
      <c r="C48" s="85">
        <v>44589</v>
      </c>
      <c r="D48" s="18" t="s">
        <v>3</v>
      </c>
      <c r="E48" s="19"/>
      <c r="F48" s="20"/>
      <c r="G48" s="21"/>
      <c r="H48" s="21"/>
      <c r="I48" s="21"/>
    </row>
    <row r="49" spans="1:17" x14ac:dyDescent="0.25">
      <c r="A49" s="45" t="s">
        <v>0</v>
      </c>
      <c r="B49" s="46" t="s">
        <v>5</v>
      </c>
      <c r="C49" s="56">
        <f>C50*C51</f>
        <v>17057.657359999997</v>
      </c>
      <c r="D49" s="47">
        <f>SUM(G19:Q19)</f>
        <v>17082.017952299844</v>
      </c>
      <c r="E49" s="46" t="s">
        <v>47</v>
      </c>
    </row>
    <row r="50" spans="1:17" x14ac:dyDescent="0.25">
      <c r="A50" s="45"/>
      <c r="B50" s="46" t="s">
        <v>11</v>
      </c>
      <c r="C50" s="56">
        <v>321.17599999999999</v>
      </c>
      <c r="D50" s="56">
        <f>C50</f>
        <v>321.17599999999999</v>
      </c>
      <c r="E50" s="46"/>
    </row>
    <row r="51" spans="1:17" x14ac:dyDescent="0.25">
      <c r="A51" s="45"/>
      <c r="B51" s="46" t="s">
        <v>13</v>
      </c>
      <c r="C51" s="89">
        <v>53.11</v>
      </c>
      <c r="D51" s="56">
        <f>D49/(D50)</f>
        <v>53.185848109135939</v>
      </c>
      <c r="E51" s="46" t="s">
        <v>47</v>
      </c>
    </row>
    <row r="52" spans="1:17" x14ac:dyDescent="0.25">
      <c r="A52" s="45"/>
      <c r="B52" s="46" t="s">
        <v>2</v>
      </c>
      <c r="C52" s="46"/>
      <c r="D52" s="57">
        <f>IF(C51/D51-1&gt;0,0,C51/D51-1)*-1</f>
        <v>1.4260956971167138E-3</v>
      </c>
      <c r="E52" s="46"/>
    </row>
    <row r="53" spans="1:17" x14ac:dyDescent="0.25">
      <c r="A53" s="45"/>
      <c r="B53" s="46" t="s">
        <v>14</v>
      </c>
      <c r="C53" s="46"/>
      <c r="D53" s="58">
        <f>IF(C51/D51-1&lt;0,0,C51/D51-1)</f>
        <v>0</v>
      </c>
      <c r="E53" s="46"/>
    </row>
    <row r="54" spans="1:17" x14ac:dyDescent="0.25">
      <c r="A54" s="46"/>
      <c r="B54" s="46"/>
      <c r="C54" s="46"/>
      <c r="D54" s="48"/>
      <c r="E54" s="48"/>
    </row>
    <row r="55" spans="1:17" x14ac:dyDescent="0.25">
      <c r="A55" s="48" t="s">
        <v>19</v>
      </c>
      <c r="B55" s="46"/>
      <c r="C55" s="50">
        <f>D46</f>
        <v>9.9250000000000005E-2</v>
      </c>
      <c r="D55" s="49"/>
      <c r="E55" s="46"/>
      <c r="J55" s="72"/>
    </row>
    <row r="56" spans="1:17" x14ac:dyDescent="0.25">
      <c r="A56" s="48"/>
      <c r="B56" s="46"/>
      <c r="C56" s="50"/>
      <c r="D56" s="49"/>
      <c r="E56" s="46"/>
    </row>
    <row r="57" spans="1:17" hidden="1" x14ac:dyDescent="0.25">
      <c r="A57" s="48" t="s">
        <v>22</v>
      </c>
      <c r="B57" s="75">
        <v>0.108</v>
      </c>
      <c r="C57" s="50"/>
      <c r="D57" s="76">
        <f>SUM(H57:Q57)*1000</f>
        <v>13593856.110354772</v>
      </c>
      <c r="E57" s="46"/>
      <c r="F57" s="1" t="s">
        <v>23</v>
      </c>
      <c r="H57" s="1">
        <f>G15/(1+$B$57)</f>
        <v>-178.53373646209388</v>
      </c>
      <c r="I57" s="1">
        <f>H15/(1+$B$57)^2</f>
        <v>-176.53380729580729</v>
      </c>
      <c r="J57" s="1">
        <f>I15/(1+$B$57)^3</f>
        <v>-166.95505544785519</v>
      </c>
      <c r="K57" s="1">
        <f>J15/(1+$B$57)^4</f>
        <v>91.338927113468912</v>
      </c>
      <c r="L57" s="1">
        <f>K15/(1+$B$57)^5</f>
        <v>121.10503525020184</v>
      </c>
      <c r="M57" s="1">
        <f>L15/(1+$B$57)^6</f>
        <v>466.12228937834919</v>
      </c>
      <c r="N57" s="1">
        <f>M15/(1+$B$57)^7</f>
        <v>576.34254192088304</v>
      </c>
      <c r="O57" s="1">
        <f>N15/(1+$B$57)^8</f>
        <v>727.47207504416497</v>
      </c>
      <c r="P57" s="1">
        <f>O15/(1+$B$57)^9</f>
        <v>899.4916451358356</v>
      </c>
      <c r="Q57" s="1">
        <f>(Q15/(B57-Q12))/(1+B57)^10</f>
        <v>11234.006195717626</v>
      </c>
    </row>
    <row r="58" spans="1:17" ht="16.5" thickBot="1" x14ac:dyDescent="0.3">
      <c r="A58" s="22"/>
      <c r="C58" s="67"/>
      <c r="D58" s="68"/>
    </row>
    <row r="59" spans="1:17" x14ac:dyDescent="0.25">
      <c r="A59" s="59" t="s">
        <v>41</v>
      </c>
      <c r="B59" s="23"/>
      <c r="C59" s="69">
        <v>15</v>
      </c>
      <c r="D59" s="23"/>
      <c r="E59" s="24"/>
    </row>
    <row r="60" spans="1:17" x14ac:dyDescent="0.25">
      <c r="A60" s="25" t="s">
        <v>21</v>
      </c>
      <c r="C60" s="70" t="s">
        <v>40</v>
      </c>
      <c r="E60" s="26"/>
    </row>
    <row r="61" spans="1:17" x14ac:dyDescent="0.25">
      <c r="A61" s="25"/>
      <c r="C61" s="70"/>
      <c r="E61" s="26"/>
    </row>
    <row r="62" spans="1:17" x14ac:dyDescent="0.25">
      <c r="A62" s="25" t="s">
        <v>37</v>
      </c>
      <c r="C62" s="70"/>
      <c r="E62" s="60">
        <f>P17*C59</f>
        <v>126.23010324546702</v>
      </c>
    </row>
    <row r="63" spans="1:17" x14ac:dyDescent="0.25">
      <c r="A63" s="25"/>
      <c r="C63" s="70"/>
      <c r="E63" s="26"/>
    </row>
    <row r="64" spans="1:17" x14ac:dyDescent="0.25">
      <c r="A64" s="25" t="s">
        <v>17</v>
      </c>
      <c r="C64" s="71">
        <v>0</v>
      </c>
      <c r="E64" s="26"/>
    </row>
    <row r="65" spans="1:5" x14ac:dyDescent="0.25">
      <c r="A65" s="25"/>
      <c r="E65" s="26"/>
    </row>
    <row r="66" spans="1:5" x14ac:dyDescent="0.25">
      <c r="A66" s="25" t="s">
        <v>18</v>
      </c>
      <c r="E66" s="60">
        <f>SUM(G17:Q17)*C64</f>
        <v>0</v>
      </c>
    </row>
    <row r="67" spans="1:5" x14ac:dyDescent="0.25">
      <c r="A67" s="25"/>
      <c r="E67" s="61"/>
    </row>
    <row r="68" spans="1:5" x14ac:dyDescent="0.25">
      <c r="A68" s="62" t="s">
        <v>48</v>
      </c>
      <c r="E68" s="63">
        <f>(E66*0.25)*-1</f>
        <v>0</v>
      </c>
    </row>
    <row r="69" spans="1:5" x14ac:dyDescent="0.25">
      <c r="A69" s="25"/>
      <c r="C69" s="41"/>
      <c r="D69" s="41"/>
      <c r="E69" s="64"/>
    </row>
    <row r="70" spans="1:5" x14ac:dyDescent="0.25">
      <c r="A70" s="25" t="s">
        <v>42</v>
      </c>
      <c r="E70" s="60">
        <f>SUM(E62:E68)</f>
        <v>126.23010324546702</v>
      </c>
    </row>
    <row r="71" spans="1:5" x14ac:dyDescent="0.25">
      <c r="A71" s="25"/>
      <c r="E71" s="60"/>
    </row>
    <row r="72" spans="1:5" x14ac:dyDescent="0.25">
      <c r="A72" s="25" t="s">
        <v>43</v>
      </c>
      <c r="E72" s="64">
        <f>E70/C51-1</f>
        <v>1.3767671482859543</v>
      </c>
    </row>
    <row r="73" spans="1:5" x14ac:dyDescent="0.25">
      <c r="A73" s="25"/>
      <c r="E73" s="26"/>
    </row>
    <row r="74" spans="1:5" ht="16.5" thickBot="1" x14ac:dyDescent="0.3">
      <c r="A74" s="65" t="s">
        <v>44</v>
      </c>
      <c r="B74" s="66"/>
      <c r="C74" s="66"/>
      <c r="D74" s="66"/>
      <c r="E74" s="104">
        <f>(E70/C51)^(1/9)-1</f>
        <v>0.10097204762620682</v>
      </c>
    </row>
  </sheetData>
  <conditionalFormatting sqref="L6:L8">
    <cfRule type="top10" dxfId="3" priority="6" percent="1" rank="10"/>
  </conditionalFormatting>
  <conditionalFormatting sqref="G6:J8">
    <cfRule type="top10" dxfId="2" priority="5" percent="1" rank="10"/>
  </conditionalFormatting>
  <conditionalFormatting sqref="L9">
    <cfRule type="top10" dxfId="1" priority="4" percent="1" rank="10"/>
  </conditionalFormatting>
  <conditionalFormatting sqref="L2:L5">
    <cfRule type="top10" dxfId="0" priority="3" percent="1" rank="10"/>
  </conditionalFormatting>
  <conditionalFormatting sqref="C32">
    <cfRule type="colorScale" priority="2">
      <colorScale>
        <cfvo type="num" val="0"/>
        <cfvo type="percentile" val="7.0000000000000007E-2"/>
        <cfvo type="num" val="0.15"/>
        <color rgb="FFFFE1E2"/>
        <color rgb="FFFFFAE0"/>
        <color rgb="FF9CF5DC"/>
      </colorScale>
    </cfRule>
  </conditionalFormatting>
  <conditionalFormatting sqref="D40:D44">
    <cfRule type="colorScale" priority="1">
      <colorScale>
        <cfvo type="min"/>
        <cfvo type="num" val="0"/>
        <cfvo type="max"/>
        <color rgb="FFFFE1E2"/>
        <color rgb="FFFFFAE0"/>
        <color rgb="FF9CF5DC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Pessimistisch</vt:lpstr>
      <vt:lpstr>Optimistisch</vt:lpstr>
      <vt:lpstr>Wachstum für faire Bewertung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Jakob</dc:creator>
  <cp:lastModifiedBy>Robert Hahn</cp:lastModifiedBy>
  <cp:lastPrinted>2021-08-03T18:16:56Z</cp:lastPrinted>
  <dcterms:created xsi:type="dcterms:W3CDTF">2020-02-09T06:30:31Z</dcterms:created>
  <dcterms:modified xsi:type="dcterms:W3CDTF">2023-01-28T08:09:01Z</dcterms:modified>
</cp:coreProperties>
</file>