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\Desktop\WLA\"/>
    </mc:Choice>
  </mc:AlternateContent>
  <xr:revisionPtr revIDLastSave="0" documentId="13_ncr:1_{83E0BDE1-19B0-49C4-8379-4AEDFF7E0B1B}" xr6:coauthVersionLast="44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essimistisch" sheetId="34" r:id="rId1"/>
    <sheet name="Optimistisch" sheetId="32" r:id="rId2"/>
    <sheet name="Wachstum für faire Bewertung" sheetId="35" r:id="rId3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" i="35" l="1"/>
  <c r="I12" i="35" s="1"/>
  <c r="J12" i="35" s="1"/>
  <c r="K12" i="35" s="1"/>
  <c r="L12" i="35" s="1"/>
  <c r="M12" i="35" s="1"/>
  <c r="N12" i="35" s="1"/>
  <c r="O12" i="35" s="1"/>
  <c r="G11" i="35" l="1"/>
  <c r="H11" i="35" s="1"/>
  <c r="I11" i="35" s="1"/>
  <c r="I18" i="34" l="1"/>
  <c r="J18" i="34" s="1"/>
  <c r="K18" i="34" s="1"/>
  <c r="L18" i="34" s="1"/>
  <c r="M18" i="34" s="1"/>
  <c r="N18" i="34" s="1"/>
  <c r="O18" i="34" s="1"/>
  <c r="P18" i="34" s="1"/>
  <c r="H18" i="34"/>
  <c r="J57" i="35" l="1"/>
  <c r="I57" i="35"/>
  <c r="H57" i="35"/>
  <c r="D50" i="35"/>
  <c r="C49" i="35"/>
  <c r="I31" i="35"/>
  <c r="I33" i="35" s="1"/>
  <c r="D46" i="35" s="1"/>
  <c r="C55" i="35" s="1"/>
  <c r="I25" i="35"/>
  <c r="G18" i="35"/>
  <c r="H18" i="35" s="1"/>
  <c r="I18" i="35" s="1"/>
  <c r="J18" i="35" s="1"/>
  <c r="K18" i="35" s="1"/>
  <c r="L18" i="35" s="1"/>
  <c r="M18" i="35" s="1"/>
  <c r="N18" i="35" s="1"/>
  <c r="O18" i="35" s="1"/>
  <c r="P18" i="35" s="1"/>
  <c r="F14" i="35"/>
  <c r="F16" i="35" s="1"/>
  <c r="E14" i="35"/>
  <c r="E16" i="35" s="1"/>
  <c r="D14" i="35"/>
  <c r="D16" i="35" s="1"/>
  <c r="C14" i="35"/>
  <c r="C16" i="35" s="1"/>
  <c r="F12" i="35"/>
  <c r="E12" i="35"/>
  <c r="D12" i="35"/>
  <c r="G17" i="35" l="1"/>
  <c r="I19" i="35"/>
  <c r="H19" i="35"/>
  <c r="G19" i="35"/>
  <c r="H17" i="35"/>
  <c r="I17" i="35" l="1"/>
  <c r="D14" i="34" l="1"/>
  <c r="E14" i="34"/>
  <c r="F14" i="34"/>
  <c r="G14" i="34"/>
  <c r="H14" i="34"/>
  <c r="I14" i="34"/>
  <c r="C14" i="34"/>
  <c r="D50" i="34" l="1"/>
  <c r="D50" i="32"/>
  <c r="G18" i="34"/>
  <c r="G18" i="32"/>
  <c r="H18" i="32" s="1"/>
  <c r="I18" i="32" s="1"/>
  <c r="J18" i="32" s="1"/>
  <c r="K18" i="32" s="1"/>
  <c r="L18" i="32" s="1"/>
  <c r="M18" i="32" s="1"/>
  <c r="N18" i="32" s="1"/>
  <c r="O18" i="32" s="1"/>
  <c r="P18" i="32" s="1"/>
  <c r="G14" i="32" l="1"/>
  <c r="H14" i="32"/>
  <c r="I14" i="32"/>
  <c r="D14" i="32"/>
  <c r="E14" i="32"/>
  <c r="F14" i="32"/>
  <c r="C14" i="32"/>
  <c r="I25" i="32" l="1"/>
  <c r="I12" i="32" l="1"/>
  <c r="H12" i="34" l="1"/>
  <c r="I12" i="34"/>
  <c r="G12" i="34"/>
  <c r="E12" i="34"/>
  <c r="F12" i="34"/>
  <c r="D12" i="34"/>
  <c r="D12" i="32" l="1"/>
  <c r="E12" i="32"/>
  <c r="F12" i="32"/>
  <c r="G12" i="32"/>
  <c r="H12" i="32"/>
  <c r="C16" i="34" l="1"/>
  <c r="H16" i="34"/>
  <c r="G16" i="34"/>
  <c r="F16" i="34"/>
  <c r="E16" i="34"/>
  <c r="D16" i="34"/>
  <c r="C49" i="32"/>
  <c r="G17" i="34" l="1"/>
  <c r="H17" i="34"/>
  <c r="C49" i="34" l="1"/>
  <c r="I31" i="34"/>
  <c r="I33" i="34" s="1"/>
  <c r="D46" i="34" s="1"/>
  <c r="C55" i="34" s="1"/>
  <c r="I25" i="34"/>
  <c r="I57" i="32"/>
  <c r="I31" i="32"/>
  <c r="I33" i="32" s="1"/>
  <c r="D46" i="32" s="1"/>
  <c r="C55" i="32" s="1"/>
  <c r="C16" i="32"/>
  <c r="G19" i="32" l="1"/>
  <c r="H19" i="34"/>
  <c r="G19" i="34"/>
  <c r="H57" i="34"/>
  <c r="I57" i="34"/>
  <c r="H16" i="32"/>
  <c r="H19" i="32"/>
  <c r="H57" i="32"/>
  <c r="G16" i="32"/>
  <c r="F16" i="32" l="1"/>
  <c r="E16" i="32"/>
  <c r="D16" i="32"/>
  <c r="J57" i="32" l="1"/>
  <c r="I16" i="32"/>
  <c r="I19" i="32"/>
  <c r="J57" i="34" l="1"/>
  <c r="I16" i="34"/>
  <c r="I19" i="34"/>
  <c r="I17" i="34"/>
  <c r="H17" i="32" l="1"/>
  <c r="G17" i="32"/>
  <c r="I17" i="32" l="1"/>
  <c r="H14" i="35" l="1"/>
  <c r="H16" i="35" s="1"/>
  <c r="G14" i="35"/>
  <c r="G16" i="35" s="1"/>
  <c r="I14" i="35" l="1"/>
  <c r="I16" i="35" s="1"/>
  <c r="J11" i="35"/>
  <c r="J14" i="35" l="1"/>
  <c r="K11" i="35"/>
  <c r="J15" i="35" l="1"/>
  <c r="J16" i="35" s="1"/>
  <c r="L11" i="35"/>
  <c r="K14" i="35"/>
  <c r="K15" i="35" s="1"/>
  <c r="K57" i="35" l="1"/>
  <c r="J19" i="35"/>
  <c r="J17" i="35"/>
  <c r="K17" i="35"/>
  <c r="K19" i="35"/>
  <c r="L57" i="35"/>
  <c r="M11" i="35"/>
  <c r="L14" i="35"/>
  <c r="L15" i="35" s="1"/>
  <c r="M57" i="35" l="1"/>
  <c r="L17" i="35"/>
  <c r="L19" i="35"/>
  <c r="M14" i="35"/>
  <c r="M15" i="35" s="1"/>
  <c r="N11" i="35"/>
  <c r="N14" i="35" l="1"/>
  <c r="N15" i="35" s="1"/>
  <c r="O11" i="35"/>
  <c r="M19" i="35"/>
  <c r="N57" i="35"/>
  <c r="M17" i="35"/>
  <c r="P11" i="35" l="1"/>
  <c r="O14" i="35"/>
  <c r="O15" i="35" s="1"/>
  <c r="N17" i="35"/>
  <c r="N19" i="35"/>
  <c r="O57" i="35"/>
  <c r="O17" i="35" l="1"/>
  <c r="O19" i="35"/>
  <c r="P57" i="35"/>
  <c r="Q11" i="35"/>
  <c r="Q14" i="35" s="1"/>
  <c r="Q15" i="35" s="1"/>
  <c r="P14" i="35"/>
  <c r="P15" i="35" s="1"/>
  <c r="D42" i="35" l="1"/>
  <c r="D40" i="35"/>
  <c r="D41" i="35"/>
  <c r="P19" i="35"/>
  <c r="P17" i="35"/>
  <c r="Q19" i="35"/>
  <c r="Q57" i="35"/>
  <c r="D57" i="35" s="1"/>
  <c r="D43" i="35"/>
  <c r="D44" i="35"/>
  <c r="D49" i="35" l="1"/>
  <c r="D51" i="35" s="1"/>
  <c r="D53" i="35" s="1"/>
  <c r="E62" i="35"/>
  <c r="E66" i="35"/>
  <c r="E68" i="35" s="1"/>
  <c r="D52" i="35" l="1"/>
  <c r="E70" i="35"/>
  <c r="E72" i="35" l="1"/>
  <c r="E74" i="35"/>
  <c r="J11" i="32"/>
  <c r="K11" i="32" s="1"/>
  <c r="J14" i="32" l="1"/>
  <c r="L11" i="32"/>
  <c r="K14" i="32"/>
  <c r="K15" i="32" s="1"/>
  <c r="K19" i="32" l="1"/>
  <c r="L57" i="32"/>
  <c r="K17" i="32"/>
  <c r="M11" i="32"/>
  <c r="L14" i="32"/>
  <c r="L15" i="32" s="1"/>
  <c r="K57" i="32" l="1"/>
  <c r="J17" i="32"/>
  <c r="J19" i="32"/>
  <c r="J16" i="32"/>
  <c r="M57" i="32"/>
  <c r="L19" i="32"/>
  <c r="L17" i="32"/>
  <c r="M14" i="32"/>
  <c r="M15" i="32" s="1"/>
  <c r="N11" i="32"/>
  <c r="N57" i="32" l="1"/>
  <c r="M19" i="32"/>
  <c r="M17" i="32"/>
  <c r="O11" i="32"/>
  <c r="N14" i="32"/>
  <c r="N15" i="32" s="1"/>
  <c r="O14" i="32" l="1"/>
  <c r="O15" i="32" s="1"/>
  <c r="P11" i="32"/>
  <c r="N19" i="32"/>
  <c r="N17" i="32"/>
  <c r="O57" i="32"/>
  <c r="P14" i="32" l="1"/>
  <c r="P15" i="32" s="1"/>
  <c r="Q11" i="32"/>
  <c r="Q14" i="32" s="1"/>
  <c r="Q15" i="32" s="1"/>
  <c r="P57" i="32"/>
  <c r="O19" i="32"/>
  <c r="O17" i="32"/>
  <c r="D40" i="32" l="1"/>
  <c r="D41" i="32"/>
  <c r="D43" i="32"/>
  <c r="P19" i="32"/>
  <c r="P17" i="32"/>
  <c r="Q57" i="32"/>
  <c r="D57" i="32" s="1"/>
  <c r="Q19" i="32"/>
  <c r="D42" i="32"/>
  <c r="D44" i="32"/>
  <c r="D49" i="32" l="1"/>
  <c r="D51" i="32" s="1"/>
  <c r="D53" i="32" s="1"/>
  <c r="E62" i="32"/>
  <c r="E66" i="32"/>
  <c r="E68" i="32" s="1"/>
  <c r="D52" i="32" l="1"/>
  <c r="E70" i="32"/>
  <c r="E74" i="32" l="1"/>
  <c r="E72" i="32"/>
  <c r="J11" i="34"/>
  <c r="J14" i="34" s="1"/>
  <c r="J15" i="34" l="1"/>
  <c r="K11" i="34"/>
  <c r="K57" i="34" l="1"/>
  <c r="J19" i="34"/>
  <c r="J17" i="34"/>
  <c r="J16" i="34"/>
  <c r="L11" i="34"/>
  <c r="K14" i="34"/>
  <c r="K15" i="34" s="1"/>
  <c r="K19" i="34" l="1"/>
  <c r="L57" i="34"/>
  <c r="K17" i="34"/>
  <c r="M11" i="34"/>
  <c r="L14" i="34"/>
  <c r="L15" i="34" s="1"/>
  <c r="L17" i="34" l="1"/>
  <c r="L19" i="34"/>
  <c r="M57" i="34"/>
  <c r="M14" i="34"/>
  <c r="M15" i="34" s="1"/>
  <c r="N11" i="34"/>
  <c r="N57" i="34" l="1"/>
  <c r="M19" i="34"/>
  <c r="M17" i="34"/>
  <c r="O11" i="34"/>
  <c r="N14" i="34"/>
  <c r="N15" i="34" s="1"/>
  <c r="N19" i="34" l="1"/>
  <c r="N17" i="34"/>
  <c r="O57" i="34"/>
  <c r="O14" i="34"/>
  <c r="O15" i="34" s="1"/>
  <c r="P11" i="34"/>
  <c r="O17" i="34" l="1"/>
  <c r="P57" i="34"/>
  <c r="O19" i="34"/>
  <c r="P14" i="34"/>
  <c r="P15" i="34" s="1"/>
  <c r="Q11" i="34"/>
  <c r="Q14" i="34" s="1"/>
  <c r="Q15" i="34" s="1"/>
  <c r="Q57" i="34" l="1"/>
  <c r="D57" i="34" s="1"/>
  <c r="Q19" i="34"/>
  <c r="P19" i="34"/>
  <c r="P17" i="34"/>
  <c r="D43" i="34"/>
  <c r="D42" i="34"/>
  <c r="D41" i="34"/>
  <c r="D44" i="34"/>
  <c r="D40" i="34"/>
  <c r="D49" i="34" l="1"/>
  <c r="D51" i="34" s="1"/>
  <c r="E62" i="34"/>
  <c r="E66" i="34"/>
  <c r="E68" i="34" s="1"/>
  <c r="E70" i="34" l="1"/>
  <c r="D52" i="34"/>
  <c r="D53" i="34"/>
  <c r="E72" i="34" l="1"/>
  <c r="E74" i="34"/>
</calcChain>
</file>

<file path=xl/sharedStrings.xml><?xml version="1.0" encoding="utf-8"?>
<sst xmlns="http://schemas.openxmlformats.org/spreadsheetml/2006/main" count="149" uniqueCount="49">
  <si>
    <t>Bewertung</t>
  </si>
  <si>
    <t>Umsatz-Wachstum, %</t>
  </si>
  <si>
    <t>Unterbewertung</t>
  </si>
  <si>
    <t>Fairer Wert</t>
  </si>
  <si>
    <t>Umsatz</t>
  </si>
  <si>
    <t>Marktkapitalisierung, Mio.</t>
  </si>
  <si>
    <t>Verhältnis EBIT zu Konzerngewinn:</t>
  </si>
  <si>
    <t>EK Quote:</t>
  </si>
  <si>
    <t>Vereinfachter WACC:</t>
  </si>
  <si>
    <t>Schätzungen »</t>
  </si>
  <si>
    <t>Discounted Net-Profit Modell</t>
  </si>
  <si>
    <t>Anzahl Aktien gesamt, Mio.</t>
  </si>
  <si>
    <t>Abgezinster Gewinn:</t>
  </si>
  <si>
    <t xml:space="preserve">Kurs pro Aktie </t>
  </si>
  <si>
    <t>Überbewertung</t>
  </si>
  <si>
    <t>EBIT Marge, %</t>
  </si>
  <si>
    <t>EBIT</t>
  </si>
  <si>
    <t xml:space="preserve">Ausschüttungsquote </t>
  </si>
  <si>
    <t xml:space="preserve">Ausgeschüttete Gewinne </t>
  </si>
  <si>
    <t>Eigenkapitalzins</t>
  </si>
  <si>
    <t>EK-Zins</t>
  </si>
  <si>
    <t xml:space="preserve">Umsatzmultiple </t>
  </si>
  <si>
    <t>Nullzinsmarkterwartung:</t>
  </si>
  <si>
    <t>Abgezinster Gewinn in Mrd. USD:</t>
  </si>
  <si>
    <t>Eigenkapitalverzinsung</t>
  </si>
  <si>
    <t>Risikoloser Basiszins:</t>
  </si>
  <si>
    <t>rF</t>
  </si>
  <si>
    <t>Risikoprämie:</t>
  </si>
  <si>
    <t>Marktrendite:</t>
  </si>
  <si>
    <t>rM</t>
  </si>
  <si>
    <t>ß</t>
  </si>
  <si>
    <t xml:space="preserve">Eigenkapitalkosten: </t>
  </si>
  <si>
    <t>rE</t>
  </si>
  <si>
    <t xml:space="preserve">Alle Angaben in Mio. </t>
  </si>
  <si>
    <t>Keine Rundung</t>
  </si>
  <si>
    <t>Beta Faktor:</t>
  </si>
  <si>
    <t>Gewinn je Aktie</t>
  </si>
  <si>
    <t>Gewinn je Aktie multipliziert mit fiktivem KGV</t>
  </si>
  <si>
    <t>Anzahl der Aktien in Mio. diluted (geschätzt)</t>
  </si>
  <si>
    <t>Gewinn (abzgl. Steuern, Zinsen)</t>
  </si>
  <si>
    <t xml:space="preserve"> </t>
  </si>
  <si>
    <t>Quellensteuer USA (25 %)</t>
  </si>
  <si>
    <t>KGV Multiple in 2031</t>
  </si>
  <si>
    <t>Gesamtwert 2031</t>
  </si>
  <si>
    <t>Steigerung Gesamt bis 2031 in Prozent</t>
  </si>
  <si>
    <t>Renditeerwartung bis 2031 pro Jahr</t>
  </si>
  <si>
    <t>2032ff.</t>
  </si>
  <si>
    <t>USD</t>
  </si>
  <si>
    <t xml:space="preserve"> Annahmen für Old Dominion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</si>
</sst>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;@"/>
    <numFmt numFmtId="165" formatCode="0.0%"/>
  </numFmts>
  <fonts count="1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20"/>
      <color theme="1"/>
      <name val="Calibri"/>
      <family val="2"/>
      <scheme val="minor"/>
    </font>
    <font>
      <sz val="12"/>
      <color theme="1" tint="4.9989318521683403E-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F2F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theme="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33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7" fillId="2" borderId="0" xfId="0" applyFont="1" applyFill="1"/>
    <xf numFmtId="0" fontId="0" fillId="3" borderId="0" xfId="0" applyFill="1"/>
    <xf numFmtId="0" fontId="5" fillId="3" borderId="0" xfId="0" applyFont="1" applyFill="1" applyAlignment="1">
      <alignment vertical="center" wrapText="1"/>
    </xf>
    <xf numFmtId="0" fontId="9" fillId="2" borderId="0" xfId="0" applyFont="1" applyFill="1"/>
    <xf numFmtId="9" fontId="9" fillId="2" borderId="0" xfId="1" applyFont="1" applyFill="1"/>
    <xf numFmtId="0" fontId="0" fillId="4" borderId="0" xfId="0" applyFill="1"/>
    <xf numFmtId="0" fontId="5" fillId="4" borderId="0" xfId="0" applyFont="1" applyFill="1"/>
    <xf numFmtId="0" fontId="4" fillId="4" borderId="0" xfId="0" applyFont="1" applyFill="1"/>
    <xf numFmtId="0" fontId="5" fillId="5" borderId="0" xfId="0" applyFont="1" applyFill="1"/>
    <xf numFmtId="165" fontId="3" fillId="7" borderId="0" xfId="1" applyNumberFormat="1" applyFont="1" applyFill="1"/>
    <xf numFmtId="0" fontId="0" fillId="2" borderId="1" xfId="0" applyFill="1" applyBorder="1" applyAlignment="1">
      <alignment wrapText="1"/>
    </xf>
    <xf numFmtId="0" fontId="8" fillId="2" borderId="2" xfId="0" applyFont="1" applyFill="1" applyBorder="1"/>
    <xf numFmtId="9" fontId="0" fillId="2" borderId="3" xfId="1" applyFont="1" applyFill="1" applyBorder="1"/>
    <xf numFmtId="0" fontId="0" fillId="6" borderId="0" xfId="0" applyFill="1" applyAlignment="1">
      <alignment wrapText="1"/>
    </xf>
    <xf numFmtId="0" fontId="0" fillId="6" borderId="0" xfId="0" applyFill="1"/>
    <xf numFmtId="0" fontId="5" fillId="6" borderId="0" xfId="0" applyFont="1" applyFill="1" applyAlignment="1">
      <alignment horizontal="right"/>
    </xf>
    <xf numFmtId="0" fontId="7" fillId="6" borderId="0" xfId="0" applyFont="1" applyFill="1"/>
    <xf numFmtId="0" fontId="10" fillId="6" borderId="0" xfId="0" applyFont="1" applyFill="1"/>
    <xf numFmtId="4" fontId="5" fillId="6" borderId="0" xfId="0" applyNumberFormat="1" applyFont="1" applyFill="1"/>
    <xf numFmtId="0" fontId="5" fillId="2" borderId="0" xfId="0" applyFont="1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10" fontId="0" fillId="2" borderId="0" xfId="0" applyNumberFormat="1" applyFill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11" fillId="2" borderId="0" xfId="0" applyFont="1" applyFill="1"/>
    <xf numFmtId="4" fontId="5" fillId="2" borderId="4" xfId="0" applyNumberFormat="1" applyFont="1" applyFill="1" applyBorder="1"/>
    <xf numFmtId="4" fontId="0" fillId="2" borderId="5" xfId="0" applyNumberFormat="1" applyFill="1" applyBorder="1"/>
    <xf numFmtId="3" fontId="0" fillId="2" borderId="5" xfId="0" applyNumberFormat="1" applyFill="1" applyBorder="1"/>
    <xf numFmtId="4" fontId="0" fillId="2" borderId="7" xfId="0" applyNumberFormat="1" applyFill="1" applyBorder="1"/>
    <xf numFmtId="4" fontId="0" fillId="2" borderId="0" xfId="0" applyNumberFormat="1" applyFill="1"/>
    <xf numFmtId="3" fontId="0" fillId="2" borderId="0" xfId="0" applyNumberFormat="1" applyFill="1"/>
    <xf numFmtId="165" fontId="3" fillId="2" borderId="0" xfId="1" applyNumberFormat="1" applyFont="1" applyFill="1" applyBorder="1"/>
    <xf numFmtId="3" fontId="5" fillId="2" borderId="0" xfId="0" applyNumberFormat="1" applyFont="1" applyFill="1"/>
    <xf numFmtId="165" fontId="5" fillId="2" borderId="0" xfId="1" applyNumberFormat="1" applyFont="1" applyFill="1" applyBorder="1"/>
    <xf numFmtId="9" fontId="0" fillId="2" borderId="0" xfId="1" applyFont="1" applyFill="1" applyBorder="1"/>
    <xf numFmtId="9" fontId="0" fillId="2" borderId="0" xfId="0" applyNumberFormat="1" applyFill="1"/>
    <xf numFmtId="9" fontId="5" fillId="2" borderId="0" xfId="0" applyNumberFormat="1" applyFont="1" applyFill="1"/>
    <xf numFmtId="10" fontId="5" fillId="2" borderId="10" xfId="0" applyNumberFormat="1" applyFont="1" applyFill="1" applyBorder="1"/>
    <xf numFmtId="0" fontId="5" fillId="8" borderId="0" xfId="0" applyFont="1" applyFill="1" applyAlignment="1">
      <alignment vertical="center" wrapText="1"/>
    </xf>
    <xf numFmtId="0" fontId="0" fillId="8" borderId="0" xfId="0" applyFill="1"/>
    <xf numFmtId="4" fontId="9" fillId="8" borderId="0" xfId="0" applyNumberFormat="1" applyFont="1" applyFill="1"/>
    <xf numFmtId="0" fontId="5" fillId="8" borderId="0" xfId="0" applyFont="1" applyFill="1"/>
    <xf numFmtId="1" fontId="3" fillId="8" borderId="0" xfId="1" applyNumberFormat="1" applyFont="1" applyFill="1"/>
    <xf numFmtId="10" fontId="5" fillId="8" borderId="0" xfId="1" applyNumberFormat="1" applyFont="1" applyFill="1"/>
    <xf numFmtId="0" fontId="0" fillId="2" borderId="1" xfId="0" applyFill="1" applyBorder="1"/>
    <xf numFmtId="0" fontId="9" fillId="2" borderId="2" xfId="0" applyFont="1" applyFill="1" applyBorder="1"/>
    <xf numFmtId="2" fontId="7" fillId="2" borderId="2" xfId="0" applyNumberFormat="1" applyFont="1" applyFill="1" applyBorder="1"/>
    <xf numFmtId="2" fontId="7" fillId="2" borderId="3" xfId="0" applyNumberFormat="1" applyFont="1" applyFill="1" applyBorder="1"/>
    <xf numFmtId="0" fontId="10" fillId="7" borderId="0" xfId="0" applyFont="1" applyFill="1" applyAlignment="1">
      <alignment horizontal="right" vertical="center"/>
    </xf>
    <xf numFmtId="4" fontId="0" fillId="8" borderId="0" xfId="0" applyNumberFormat="1" applyFill="1"/>
    <xf numFmtId="9" fontId="0" fillId="9" borderId="0" xfId="1" applyFont="1" applyFill="1"/>
    <xf numFmtId="9" fontId="5" fillId="8" borderId="0" xfId="1" applyFont="1" applyFill="1"/>
    <xf numFmtId="0" fontId="0" fillId="2" borderId="4" xfId="0" applyFill="1" applyBorder="1"/>
    <xf numFmtId="4" fontId="0" fillId="2" borderId="8" xfId="0" applyNumberFormat="1" applyFill="1" applyBorder="1"/>
    <xf numFmtId="3" fontId="6" fillId="2" borderId="8" xfId="0" quotePrefix="1" applyNumberFormat="1" applyFont="1" applyFill="1" applyBorder="1"/>
    <xf numFmtId="10" fontId="0" fillId="2" borderId="7" xfId="0" applyNumberFormat="1" applyFill="1" applyBorder="1"/>
    <xf numFmtId="4" fontId="12" fillId="2" borderId="8" xfId="0" quotePrefix="1" applyNumberFormat="1" applyFont="1" applyFill="1" applyBorder="1"/>
    <xf numFmtId="9" fontId="0" fillId="2" borderId="8" xfId="1" applyFont="1" applyFill="1" applyBorder="1"/>
    <xf numFmtId="0" fontId="0" fillId="10" borderId="9" xfId="0" applyFill="1" applyBorder="1"/>
    <xf numFmtId="0" fontId="0" fillId="10" borderId="10" xfId="0" applyFill="1" applyBorder="1"/>
    <xf numFmtId="10" fontId="5" fillId="2" borderId="0" xfId="1" applyNumberFormat="1" applyFont="1" applyFill="1"/>
    <xf numFmtId="1" fontId="3" fillId="2" borderId="0" xfId="1" applyNumberFormat="1" applyFont="1" applyFill="1"/>
    <xf numFmtId="0" fontId="0" fillId="2" borderId="5" xfId="0" applyFill="1" applyBorder="1" applyAlignment="1">
      <alignment horizontal="center"/>
    </xf>
    <xf numFmtId="0" fontId="0" fillId="2" borderId="0" xfId="0" applyFill="1" applyAlignment="1">
      <alignment horizontal="center"/>
    </xf>
    <xf numFmtId="9" fontId="0" fillId="2" borderId="0" xfId="0" applyNumberFormat="1" applyFill="1" applyAlignment="1">
      <alignment horizontal="center"/>
    </xf>
    <xf numFmtId="9" fontId="0" fillId="2" borderId="0" xfId="1" applyFont="1" applyFill="1"/>
    <xf numFmtId="165" fontId="0" fillId="7" borderId="0" xfId="1" applyNumberFormat="1" applyFont="1" applyFill="1"/>
    <xf numFmtId="4" fontId="0" fillId="7" borderId="0" xfId="0" applyNumberFormat="1" applyFill="1"/>
    <xf numFmtId="10" fontId="0" fillId="8" borderId="0" xfId="0" applyNumberFormat="1" applyFill="1"/>
    <xf numFmtId="4" fontId="3" fillId="8" borderId="0" xfId="1" applyNumberFormat="1" applyFont="1" applyFill="1"/>
    <xf numFmtId="0" fontId="0" fillId="2" borderId="0" xfId="0" quotePrefix="1" applyFill="1"/>
    <xf numFmtId="0" fontId="5" fillId="2" borderId="7" xfId="0" applyFont="1" applyFill="1" applyBorder="1"/>
    <xf numFmtId="10" fontId="5" fillId="2" borderId="0" xfId="0" applyNumberFormat="1" applyFont="1" applyFill="1"/>
    <xf numFmtId="10" fontId="0" fillId="2" borderId="5" xfId="0" applyNumberFormat="1" applyFill="1" applyBorder="1" applyAlignment="1">
      <alignment horizontal="right"/>
    </xf>
    <xf numFmtId="0" fontId="0" fillId="2" borderId="0" xfId="0" applyFill="1" applyAlignment="1">
      <alignment horizontal="right"/>
    </xf>
    <xf numFmtId="10" fontId="0" fillId="2" borderId="0" xfId="1" applyNumberFormat="1" applyFont="1" applyFill="1" applyBorder="1" applyAlignment="1">
      <alignment horizontal="right"/>
    </xf>
    <xf numFmtId="10" fontId="0" fillId="2" borderId="0" xfId="0" applyNumberFormat="1" applyFill="1" applyAlignment="1">
      <alignment horizontal="right"/>
    </xf>
    <xf numFmtId="4" fontId="9" fillId="5" borderId="0" xfId="0" applyNumberFormat="1" applyFont="1" applyFill="1"/>
    <xf numFmtId="164" fontId="10" fillId="6" borderId="0" xfId="0" applyNumberFormat="1" applyFont="1" applyFill="1"/>
    <xf numFmtId="10" fontId="0" fillId="7" borderId="0" xfId="1" applyNumberFormat="1" applyFont="1" applyFill="1"/>
    <xf numFmtId="165" fontId="9" fillId="7" borderId="0" xfId="1" applyNumberFormat="1" applyFont="1" applyFill="1"/>
    <xf numFmtId="9" fontId="9" fillId="5" borderId="0" xfId="1" applyFont="1" applyFill="1"/>
    <xf numFmtId="2" fontId="0" fillId="8" borderId="0" xfId="0" applyNumberFormat="1" applyFill="1"/>
    <xf numFmtId="10" fontId="9" fillId="5" borderId="0" xfId="1" applyNumberFormat="1" applyFont="1" applyFill="1"/>
    <xf numFmtId="165" fontId="9" fillId="5" borderId="0" xfId="1" applyNumberFormat="1" applyFont="1" applyFill="1"/>
    <xf numFmtId="0" fontId="9" fillId="2" borderId="4" xfId="0" applyFont="1" applyFill="1" applyBorder="1"/>
    <xf numFmtId="0" fontId="9" fillId="2" borderId="5" xfId="0" applyFont="1" applyFill="1" applyBorder="1"/>
    <xf numFmtId="10" fontId="9" fillId="2" borderId="5" xfId="0" applyNumberFormat="1" applyFont="1" applyFill="1" applyBorder="1" applyAlignment="1">
      <alignment horizontal="right"/>
    </xf>
    <xf numFmtId="0" fontId="9" fillId="2" borderId="7" xfId="0" applyFont="1" applyFill="1" applyBorder="1"/>
    <xf numFmtId="0" fontId="9" fillId="2" borderId="0" xfId="0" applyFont="1" applyFill="1" applyAlignment="1">
      <alignment horizontal="right"/>
    </xf>
    <xf numFmtId="10" fontId="9" fillId="2" borderId="0" xfId="1" applyNumberFormat="1" applyFont="1" applyFill="1" applyBorder="1" applyAlignment="1">
      <alignment horizontal="right"/>
    </xf>
    <xf numFmtId="10" fontId="9" fillId="2" borderId="0" xfId="0" applyNumberFormat="1" applyFont="1" applyFill="1" applyAlignment="1">
      <alignment horizontal="right"/>
    </xf>
    <xf numFmtId="0" fontId="10" fillId="2" borderId="7" xfId="0" applyFont="1" applyFill="1" applyBorder="1"/>
    <xf numFmtId="0" fontId="10" fillId="2" borderId="0" xfId="0" applyFont="1" applyFill="1"/>
    <xf numFmtId="10" fontId="10" fillId="2" borderId="0" xfId="0" applyNumberFormat="1" applyFont="1" applyFill="1"/>
    <xf numFmtId="9" fontId="9" fillId="6" borderId="0" xfId="1" applyFont="1" applyFill="1"/>
    <xf numFmtId="10" fontId="0" fillId="2" borderId="0" xfId="1" applyNumberFormat="1" applyFont="1" applyFill="1"/>
    <xf numFmtId="10" fontId="0" fillId="10" borderId="10" xfId="1" applyNumberFormat="1" applyFont="1" applyFill="1" applyBorder="1"/>
    <xf numFmtId="0" fontId="0" fillId="11" borderId="9" xfId="0" applyFill="1" applyBorder="1"/>
    <xf numFmtId="0" fontId="0" fillId="11" borderId="10" xfId="0" applyFill="1" applyBorder="1"/>
    <xf numFmtId="10" fontId="0" fillId="11" borderId="10" xfId="1" applyNumberFormat="1" applyFont="1" applyFill="1" applyBorder="1"/>
  </cellXfs>
  <cellStyles count="7">
    <cellStyle name="Prozent" xfId="1" builtinId="5"/>
    <cellStyle name="Prozent 2" xfId="2" xr:uid="{00000000-0005-0000-0000-000001000000}"/>
    <cellStyle name="Prozent 3" xfId="4" xr:uid="{00000000-0005-0000-0000-000002000000}"/>
    <cellStyle name="Prozent 4" xfId="6" xr:uid="{DE5E001C-AEE3-45AD-B913-D01465EAAE5D}"/>
    <cellStyle name="Standard" xfId="0" builtinId="0"/>
    <cellStyle name="Standard 2" xfId="3" xr:uid="{00000000-0005-0000-0000-000004000000}"/>
    <cellStyle name="Standard 3" xfId="5" xr:uid="{D21CDE20-7D2B-4947-8C50-96BDB9D63654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00"/>
      <color rgb="FFFF7A5F"/>
      <color rgb="FFCC99FF"/>
      <color rgb="FFFFCC99"/>
      <color rgb="FFFFCC66"/>
      <color rgb="FFFFEB7D"/>
      <color rgb="FF009900"/>
      <color rgb="FFCCCCFF"/>
      <color rgb="FF9966FF"/>
      <color rgb="FF99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148166</xdr:colOff>
      <xdr:row>22</xdr:row>
      <xdr:rowOff>84666</xdr:rowOff>
    </xdr:from>
    <xdr:to>
      <xdr:col>13</xdr:col>
      <xdr:colOff>15507</xdr:colOff>
      <xdr:row>29</xdr:row>
      <xdr:rowOff>73441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480E8E9-90E0-4C71-8FA2-90316083A3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64091" y="4656666"/>
          <a:ext cx="3582091" cy="138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148166</xdr:colOff>
      <xdr:row>22</xdr:row>
      <xdr:rowOff>84666</xdr:rowOff>
    </xdr:from>
    <xdr:to>
      <xdr:col>13</xdr:col>
      <xdr:colOff>29795</xdr:colOff>
      <xdr:row>29</xdr:row>
      <xdr:rowOff>73441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74A3B2B-061E-42EB-AB1A-BED6F37A5A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88066" y="4656666"/>
          <a:ext cx="3596379" cy="13889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148166</xdr:colOff>
      <xdr:row>22</xdr:row>
      <xdr:rowOff>84666</xdr:rowOff>
    </xdr:from>
    <xdr:to>
      <xdr:col>13</xdr:col>
      <xdr:colOff>29795</xdr:colOff>
      <xdr:row>29</xdr:row>
      <xdr:rowOff>73441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ED6B0C2-47F7-4639-9157-E9F95B4B4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88066" y="4656666"/>
          <a:ext cx="3596379" cy="1388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0EB64-3C98-49AD-AFA7-32CB9200B01E}">
  <dimension ref="A2:AB74"/>
  <sheetViews>
    <sheetView tabSelected="1" zoomScaleNormal="100" workbookViewId="0">
      <selection activeCell="B77" sqref="B77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17" width="16.25" style="1" customWidth="1"/>
    <col min="18" max="18" width="10.625" style="1" customWidth="1"/>
    <col min="19" max="16384" width="10.625" style="1"/>
  </cols>
  <sheetData>
    <row r="2" spans="1:28" ht="26.25" x14ac:dyDescent="0.4">
      <c r="B2" s="31" t="s">
        <v>10</v>
      </c>
    </row>
    <row r="4" spans="1:28" x14ac:dyDescent="0.25">
      <c r="B4" s="22" t="s">
        <v>48</v>
      </c>
    </row>
    <row r="6" spans="1:28" x14ac:dyDescent="0.25">
      <c r="B6" s="1" t="s">
        <v>33</v>
      </c>
    </row>
    <row r="9" spans="1:28" s="8" customFormat="1" x14ac:dyDescent="0.25">
      <c r="G9" s="9" t="s">
        <v>9</v>
      </c>
      <c r="H9" s="10"/>
      <c r="I9" s="10"/>
      <c r="J9" s="10"/>
      <c r="K9" s="10"/>
      <c r="L9" s="10"/>
      <c r="M9" s="10"/>
      <c r="N9" s="10"/>
      <c r="O9" s="10"/>
      <c r="P9" s="10"/>
      <c r="Q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5">
      <c r="A10" s="4"/>
      <c r="B10" s="4"/>
      <c r="C10" s="11">
        <v>2018</v>
      </c>
      <c r="D10" s="11">
        <v>2019</v>
      </c>
      <c r="E10" s="11">
        <v>2020</v>
      </c>
      <c r="F10" s="11">
        <v>2021</v>
      </c>
      <c r="G10" s="55">
        <v>2022</v>
      </c>
      <c r="H10" s="55">
        <v>2023</v>
      </c>
      <c r="I10" s="55">
        <v>2024</v>
      </c>
      <c r="J10" s="55">
        <v>2025</v>
      </c>
      <c r="K10" s="55">
        <v>2026</v>
      </c>
      <c r="L10" s="55">
        <v>2027</v>
      </c>
      <c r="M10" s="55">
        <v>2028</v>
      </c>
      <c r="N10" s="55">
        <v>2029</v>
      </c>
      <c r="O10" s="55">
        <v>2030</v>
      </c>
      <c r="P10" s="55">
        <v>2031</v>
      </c>
      <c r="Q10" s="55" t="s">
        <v>46</v>
      </c>
    </row>
    <row r="11" spans="1:28" x14ac:dyDescent="0.25">
      <c r="A11" s="5"/>
      <c r="B11" s="4" t="s">
        <v>4</v>
      </c>
      <c r="C11" s="84">
        <v>4043.7</v>
      </c>
      <c r="D11" s="84">
        <v>4109.1099999999997</v>
      </c>
      <c r="E11" s="84">
        <v>4015.13</v>
      </c>
      <c r="F11" s="84">
        <v>5256.33</v>
      </c>
      <c r="G11" s="74">
        <v>6275.84</v>
      </c>
      <c r="H11" s="74">
        <v>6219.59</v>
      </c>
      <c r="I11" s="74">
        <v>6567.75</v>
      </c>
      <c r="J11" s="74">
        <f t="shared" ref="J11:Q11" si="0">I11*(1+J12)</f>
        <v>6961.8150000000005</v>
      </c>
      <c r="K11" s="74">
        <f t="shared" si="0"/>
        <v>7344.714825</v>
      </c>
      <c r="L11" s="74">
        <f t="shared" si="0"/>
        <v>7748.6741403749993</v>
      </c>
      <c r="M11" s="74">
        <f t="shared" si="0"/>
        <v>8136.1078473937496</v>
      </c>
      <c r="N11" s="74">
        <f t="shared" si="0"/>
        <v>8461.5521612894991</v>
      </c>
      <c r="O11" s="74">
        <f t="shared" si="0"/>
        <v>8715.3987261281836</v>
      </c>
      <c r="P11" s="74">
        <f t="shared" si="0"/>
        <v>8889.7067006507477</v>
      </c>
      <c r="Q11" s="74">
        <f t="shared" si="0"/>
        <v>9023.0523011605073</v>
      </c>
    </row>
    <row r="12" spans="1:28" x14ac:dyDescent="0.25">
      <c r="A12" s="5"/>
      <c r="B12" s="4" t="s">
        <v>1</v>
      </c>
      <c r="C12" s="88"/>
      <c r="D12" s="91">
        <f t="shared" ref="D12:I12" si="1">D11/C11-1</f>
        <v>1.6175779607784824E-2</v>
      </c>
      <c r="E12" s="91">
        <f t="shared" si="1"/>
        <v>-2.2871132678365824E-2</v>
      </c>
      <c r="F12" s="91">
        <f t="shared" si="1"/>
        <v>0.30913071307778317</v>
      </c>
      <c r="G12" s="87">
        <f t="shared" si="1"/>
        <v>0.19395852239109801</v>
      </c>
      <c r="H12" s="87">
        <f t="shared" si="1"/>
        <v>-8.962943605955509E-3</v>
      </c>
      <c r="I12" s="87">
        <f t="shared" si="1"/>
        <v>5.5977966393283118E-2</v>
      </c>
      <c r="J12" s="87">
        <v>0.06</v>
      </c>
      <c r="K12" s="87">
        <v>5.5E-2</v>
      </c>
      <c r="L12" s="73">
        <v>5.5E-2</v>
      </c>
      <c r="M12" s="73">
        <v>0.05</v>
      </c>
      <c r="N12" s="73">
        <v>0.04</v>
      </c>
      <c r="O12" s="73">
        <v>0.03</v>
      </c>
      <c r="P12" s="73">
        <v>0.02</v>
      </c>
      <c r="Q12" s="12">
        <v>1.4999999999999999E-2</v>
      </c>
    </row>
    <row r="13" spans="1:28" ht="15.95" customHeight="1" x14ac:dyDescent="0.25">
      <c r="A13" s="5"/>
      <c r="B13" s="4" t="s">
        <v>15</v>
      </c>
      <c r="C13" s="90">
        <v>0.2072</v>
      </c>
      <c r="D13" s="90">
        <v>0.20619999999999999</v>
      </c>
      <c r="E13" s="90">
        <v>0.23100000000000001</v>
      </c>
      <c r="F13" s="90">
        <v>0.2697</v>
      </c>
      <c r="G13" s="86">
        <v>0.28760000000000002</v>
      </c>
      <c r="H13" s="86">
        <v>0.27589999999999998</v>
      </c>
      <c r="I13" s="86">
        <v>0.28439999999999999</v>
      </c>
      <c r="J13" s="86">
        <v>0.28499999999999998</v>
      </c>
      <c r="K13" s="86">
        <v>0.28999999999999998</v>
      </c>
      <c r="L13" s="86">
        <v>0.28999999999999998</v>
      </c>
      <c r="M13" s="86">
        <v>0.29499999999999998</v>
      </c>
      <c r="N13" s="86">
        <v>0.29499999999999998</v>
      </c>
      <c r="O13" s="86">
        <v>0.3</v>
      </c>
      <c r="P13" s="86">
        <v>0.3</v>
      </c>
      <c r="Q13" s="86">
        <v>0.3</v>
      </c>
    </row>
    <row r="14" spans="1:28" ht="17.100000000000001" customHeight="1" x14ac:dyDescent="0.25">
      <c r="A14" s="5"/>
      <c r="B14" s="4" t="s">
        <v>16</v>
      </c>
      <c r="C14" s="84">
        <f>C11*C13</f>
        <v>837.8546399999999</v>
      </c>
      <c r="D14" s="84">
        <f t="shared" ref="D14:I14" si="2">D11*D13</f>
        <v>847.29848199999992</v>
      </c>
      <c r="E14" s="84">
        <f t="shared" si="2"/>
        <v>927.49503000000004</v>
      </c>
      <c r="F14" s="84">
        <f t="shared" si="2"/>
        <v>1417.6322009999999</v>
      </c>
      <c r="G14" s="74">
        <f t="shared" si="2"/>
        <v>1804.9315840000002</v>
      </c>
      <c r="H14" s="74">
        <f t="shared" si="2"/>
        <v>1715.9848809999999</v>
      </c>
      <c r="I14" s="74">
        <f t="shared" si="2"/>
        <v>1867.8680999999999</v>
      </c>
      <c r="J14" s="74">
        <f>J11*J13</f>
        <v>1984.1172750000001</v>
      </c>
      <c r="K14" s="74">
        <f t="shared" ref="K14:Q14" si="3">K11*K13</f>
        <v>2129.96729925</v>
      </c>
      <c r="L14" s="74">
        <f t="shared" si="3"/>
        <v>2247.1155007087496</v>
      </c>
      <c r="M14" s="74">
        <f t="shared" si="3"/>
        <v>2400.1518149811559</v>
      </c>
      <c r="N14" s="74">
        <f t="shared" si="3"/>
        <v>2496.1578875804021</v>
      </c>
      <c r="O14" s="74">
        <f t="shared" si="3"/>
        <v>2614.6196178384548</v>
      </c>
      <c r="P14" s="74">
        <f t="shared" si="3"/>
        <v>2666.9120101952244</v>
      </c>
      <c r="Q14" s="74">
        <f t="shared" si="3"/>
        <v>2706.9156903481521</v>
      </c>
    </row>
    <row r="15" spans="1:28" x14ac:dyDescent="0.25">
      <c r="A15" s="102">
        <v>0.25</v>
      </c>
      <c r="B15" s="4" t="s">
        <v>39</v>
      </c>
      <c r="C15" s="84">
        <v>605.74625999999989</v>
      </c>
      <c r="D15" s="84">
        <v>615.54467799999986</v>
      </c>
      <c r="E15" s="84">
        <v>672.53427500000009</v>
      </c>
      <c r="F15" s="84">
        <v>1034.4457440000001</v>
      </c>
      <c r="G15" s="74">
        <v>1343.6573440000002</v>
      </c>
      <c r="H15" s="74">
        <v>1273.150073</v>
      </c>
      <c r="I15" s="74">
        <v>1392.3630000000001</v>
      </c>
      <c r="J15" s="74">
        <f t="shared" ref="J15:Q15" si="4">J14*(1-$A$15)</f>
        <v>1488.0879562499999</v>
      </c>
      <c r="K15" s="74">
        <f t="shared" si="4"/>
        <v>1597.4754744375</v>
      </c>
      <c r="L15" s="74">
        <f t="shared" si="4"/>
        <v>1685.3366255315623</v>
      </c>
      <c r="M15" s="74">
        <f t="shared" si="4"/>
        <v>1800.1138612358668</v>
      </c>
      <c r="N15" s="74">
        <f t="shared" si="4"/>
        <v>1872.1184156853014</v>
      </c>
      <c r="O15" s="74">
        <f t="shared" si="4"/>
        <v>1960.9647133788412</v>
      </c>
      <c r="P15" s="74">
        <f t="shared" si="4"/>
        <v>2000.1840076464182</v>
      </c>
      <c r="Q15" s="74">
        <f t="shared" si="4"/>
        <v>2030.186767761114</v>
      </c>
    </row>
    <row r="16" spans="1:28" ht="32.25" hidden="1" thickBot="1" x14ac:dyDescent="0.3">
      <c r="A16" s="13" t="s">
        <v>6</v>
      </c>
      <c r="B16" s="14"/>
      <c r="C16" s="15">
        <f t="shared" ref="C16:J16" si="5">C15/C14</f>
        <v>0.72297297297297292</v>
      </c>
      <c r="D16" s="15">
        <f t="shared" si="5"/>
        <v>0.72647914645974776</v>
      </c>
      <c r="E16" s="15">
        <f t="shared" si="5"/>
        <v>0.72510822510822515</v>
      </c>
      <c r="F16" s="15">
        <f t="shared" si="5"/>
        <v>0.72969966629588445</v>
      </c>
      <c r="G16" s="15">
        <f t="shared" si="5"/>
        <v>0.74443671766342145</v>
      </c>
      <c r="H16" s="15">
        <f t="shared" si="5"/>
        <v>0.74193548387096786</v>
      </c>
      <c r="I16" s="15">
        <f t="shared" si="5"/>
        <v>0.74542897327707458</v>
      </c>
      <c r="J16" s="15">
        <f t="shared" si="5"/>
        <v>0.74999999999999989</v>
      </c>
    </row>
    <row r="17" spans="1:18" x14ac:dyDescent="0.25">
      <c r="A17" s="2" t="s">
        <v>36</v>
      </c>
      <c r="C17" s="84"/>
      <c r="D17" s="84"/>
      <c r="E17" s="84"/>
      <c r="F17" s="84"/>
      <c r="G17" s="74">
        <f>G15/G18</f>
        <v>11.543447972508591</v>
      </c>
      <c r="H17" s="74">
        <f t="shared" ref="H17:P17" si="6">H15/H18</f>
        <v>10.992678797768912</v>
      </c>
      <c r="I17" s="74">
        <f t="shared" si="6"/>
        <v>12.082403417387408</v>
      </c>
      <c r="J17" s="74">
        <f t="shared" si="6"/>
        <v>12.977958444555568</v>
      </c>
      <c r="K17" s="74">
        <f t="shared" si="6"/>
        <v>14.001962042182056</v>
      </c>
      <c r="L17" s="74">
        <f t="shared" si="6"/>
        <v>14.846301461811121</v>
      </c>
      <c r="M17" s="74">
        <f t="shared" si="6"/>
        <v>15.937071141209476</v>
      </c>
      <c r="N17" s="74">
        <f t="shared" si="6"/>
        <v>16.657843202872218</v>
      </c>
      <c r="O17" s="74">
        <f t="shared" si="6"/>
        <v>17.536065240396951</v>
      </c>
      <c r="P17" s="74">
        <f t="shared" si="6"/>
        <v>17.976669894678285</v>
      </c>
      <c r="Q17" s="74"/>
    </row>
    <row r="18" spans="1:18" ht="32.25" thickBot="1" x14ac:dyDescent="0.3">
      <c r="A18" s="2" t="s">
        <v>38</v>
      </c>
      <c r="C18" s="84"/>
      <c r="D18" s="84"/>
      <c r="E18" s="84"/>
      <c r="F18" s="84"/>
      <c r="G18" s="74">
        <f>C50</f>
        <v>116.4</v>
      </c>
      <c r="H18" s="74">
        <f>G18*0.995</f>
        <v>115.81800000000001</v>
      </c>
      <c r="I18" s="74">
        <f t="shared" ref="I18:P18" si="7">H18*0.995</f>
        <v>115.23891000000002</v>
      </c>
      <c r="J18" s="74">
        <f t="shared" si="7"/>
        <v>114.66271545000002</v>
      </c>
      <c r="K18" s="74">
        <f t="shared" si="7"/>
        <v>114.08940187275002</v>
      </c>
      <c r="L18" s="74">
        <f t="shared" si="7"/>
        <v>113.51895486338627</v>
      </c>
      <c r="M18" s="74">
        <f t="shared" si="7"/>
        <v>112.95136008906934</v>
      </c>
      <c r="N18" s="74">
        <f t="shared" si="7"/>
        <v>112.38660328862399</v>
      </c>
      <c r="O18" s="74">
        <f t="shared" si="7"/>
        <v>111.82467027218087</v>
      </c>
      <c r="P18" s="74">
        <f t="shared" si="7"/>
        <v>111.26554692081996</v>
      </c>
      <c r="Q18" s="74"/>
    </row>
    <row r="19" spans="1:18" ht="16.5" thickBot="1" x14ac:dyDescent="0.3">
      <c r="A19" s="2"/>
      <c r="E19" s="51" t="s">
        <v>12</v>
      </c>
      <c r="F19" s="52"/>
      <c r="G19" s="53">
        <f>G15/(1+$C$55)</f>
        <v>1229.6109302219172</v>
      </c>
      <c r="H19" s="53">
        <f>H15/(1+$C$55)^2</f>
        <v>1066.1982588283743</v>
      </c>
      <c r="I19" s="53">
        <f>I15/(1+$C$55)^3</f>
        <v>1067.0629198304941</v>
      </c>
      <c r="J19" s="53">
        <f>J15/(1+$C$55)^4</f>
        <v>1043.6270835679163</v>
      </c>
      <c r="K19" s="53">
        <f>K15/(1+$C$55)^5</f>
        <v>1025.2508156794308</v>
      </c>
      <c r="L19" s="53">
        <f>L15/(1+$C$55)^6</f>
        <v>989.83263376051195</v>
      </c>
      <c r="M19" s="53">
        <f>M15/(1+$C$55)^7</f>
        <v>967.50734324921632</v>
      </c>
      <c r="N19" s="53">
        <f>N15/(1+$C$55)^8</f>
        <v>920.80314525663232</v>
      </c>
      <c r="O19" s="53">
        <f>O15/(1+$C$55)^9</f>
        <v>882.63763676403232</v>
      </c>
      <c r="P19" s="53">
        <f>P15/(1+$C$55)^10</f>
        <v>823.87589979346865</v>
      </c>
      <c r="Q19" s="54">
        <f>(Q15/(C55-Q12))/(1+C55)^10</f>
        <v>10755.421714345599</v>
      </c>
    </row>
    <row r="20" spans="1:18" x14ac:dyDescent="0.25">
      <c r="A20" s="2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6"/>
      <c r="P20" s="3"/>
      <c r="Q20" s="3"/>
      <c r="R20" s="3"/>
    </row>
    <row r="21" spans="1:18" x14ac:dyDescent="0.25">
      <c r="A21" s="2"/>
      <c r="J21" s="103"/>
      <c r="K21" s="103"/>
      <c r="L21" s="103"/>
      <c r="M21" s="103"/>
      <c r="N21" s="103"/>
      <c r="O21" s="103"/>
      <c r="P21" s="103"/>
      <c r="Q21" s="103"/>
      <c r="R21" s="3"/>
    </row>
    <row r="22" spans="1:18" ht="16.5" thickBot="1" x14ac:dyDescent="0.3">
      <c r="P22" s="3"/>
      <c r="Q22" s="3"/>
      <c r="R22" s="3"/>
    </row>
    <row r="23" spans="1:18" x14ac:dyDescent="0.25">
      <c r="A23" s="32" t="s">
        <v>24</v>
      </c>
      <c r="B23" s="33"/>
      <c r="C23" s="33"/>
      <c r="D23" s="34"/>
      <c r="E23" s="23"/>
      <c r="F23" s="33"/>
      <c r="G23" s="92" t="s">
        <v>25</v>
      </c>
      <c r="H23" s="93"/>
      <c r="I23" s="94">
        <v>3.7499999999999999E-2</v>
      </c>
      <c r="J23" s="24" t="s">
        <v>26</v>
      </c>
    </row>
    <row r="24" spans="1:18" x14ac:dyDescent="0.25">
      <c r="A24" s="35"/>
      <c r="B24" s="36"/>
      <c r="C24" s="36"/>
      <c r="D24" s="37"/>
      <c r="E24" s="36"/>
      <c r="F24" s="36"/>
      <c r="G24" s="95"/>
      <c r="H24" s="6"/>
      <c r="I24" s="96"/>
      <c r="J24" s="26"/>
    </row>
    <row r="25" spans="1:18" x14ac:dyDescent="0.25">
      <c r="A25" s="35"/>
      <c r="B25" s="36"/>
      <c r="C25" s="36"/>
      <c r="D25" s="38"/>
      <c r="F25" s="36"/>
      <c r="G25" s="95" t="s">
        <v>27</v>
      </c>
      <c r="H25" s="6"/>
      <c r="I25" s="97">
        <f>(I27-I23)*I29</f>
        <v>5.5250000000000014E-2</v>
      </c>
      <c r="J25" s="26"/>
    </row>
    <row r="26" spans="1:18" x14ac:dyDescent="0.25">
      <c r="A26" s="35"/>
      <c r="B26" s="36"/>
      <c r="C26" s="36"/>
      <c r="D26" s="38"/>
      <c r="F26" s="36"/>
      <c r="G26" s="95"/>
      <c r="H26" s="6"/>
      <c r="I26" s="96"/>
      <c r="J26" s="26"/>
    </row>
    <row r="27" spans="1:18" x14ac:dyDescent="0.25">
      <c r="A27" s="35"/>
      <c r="B27" s="36"/>
      <c r="C27" s="36"/>
      <c r="D27" s="38"/>
      <c r="F27" s="36"/>
      <c r="G27" s="95" t="s">
        <v>28</v>
      </c>
      <c r="H27" s="6"/>
      <c r="I27" s="98">
        <v>7.0000000000000007E-2</v>
      </c>
      <c r="J27" s="26" t="s">
        <v>29</v>
      </c>
    </row>
    <row r="28" spans="1:18" x14ac:dyDescent="0.25">
      <c r="A28" s="35"/>
      <c r="B28" s="36"/>
      <c r="C28" s="36"/>
      <c r="D28" s="39"/>
      <c r="F28" s="36"/>
      <c r="G28" s="95"/>
      <c r="H28" s="6"/>
      <c r="I28" s="96"/>
      <c r="J28" s="26"/>
    </row>
    <row r="29" spans="1:18" x14ac:dyDescent="0.25">
      <c r="A29" s="35"/>
      <c r="B29" s="36"/>
      <c r="C29" s="36"/>
      <c r="D29" s="39"/>
      <c r="F29" s="36"/>
      <c r="G29" s="95" t="s">
        <v>35</v>
      </c>
      <c r="H29" s="6"/>
      <c r="I29" s="96">
        <v>1.7</v>
      </c>
      <c r="J29" s="26" t="s">
        <v>30</v>
      </c>
    </row>
    <row r="30" spans="1:18" x14ac:dyDescent="0.25">
      <c r="A30" s="35"/>
      <c r="B30" s="36"/>
      <c r="C30" s="36"/>
      <c r="D30" s="40"/>
      <c r="F30" s="36"/>
      <c r="G30" s="95"/>
      <c r="H30" s="6"/>
      <c r="I30" s="96"/>
      <c r="J30" s="26"/>
    </row>
    <row r="31" spans="1:18" x14ac:dyDescent="0.25">
      <c r="A31" s="35"/>
      <c r="B31" s="36"/>
      <c r="C31" s="36"/>
      <c r="D31" s="37"/>
      <c r="F31" s="36"/>
      <c r="G31" s="95" t="s">
        <v>31</v>
      </c>
      <c r="H31" s="6"/>
      <c r="I31" s="98">
        <f>I23+(I27-I23)*I29</f>
        <v>9.2750000000000013E-2</v>
      </c>
      <c r="J31" s="26" t="s">
        <v>32</v>
      </c>
    </row>
    <row r="32" spans="1:18" x14ac:dyDescent="0.25">
      <c r="A32" s="25"/>
      <c r="C32" s="41"/>
      <c r="E32" s="36"/>
      <c r="F32" s="36"/>
      <c r="G32" s="95"/>
      <c r="H32" s="6"/>
      <c r="I32" s="6"/>
      <c r="J32" s="26"/>
    </row>
    <row r="33" spans="1:10" x14ac:dyDescent="0.25">
      <c r="A33" s="25"/>
      <c r="G33" s="99" t="s">
        <v>34</v>
      </c>
      <c r="H33" s="100"/>
      <c r="I33" s="101">
        <f>I31</f>
        <v>9.2750000000000013E-2</v>
      </c>
      <c r="J33" s="26"/>
    </row>
    <row r="34" spans="1:10" x14ac:dyDescent="0.25">
      <c r="A34" s="35" t="s">
        <v>7</v>
      </c>
      <c r="B34" s="36"/>
      <c r="C34" s="42"/>
      <c r="D34" s="27"/>
      <c r="G34" s="95"/>
      <c r="H34" s="6"/>
      <c r="I34" s="6"/>
      <c r="J34" s="26"/>
    </row>
    <row r="35" spans="1:10" ht="15.75" hidden="1" customHeight="1" x14ac:dyDescent="0.25">
      <c r="A35" s="25"/>
      <c r="G35" s="25"/>
      <c r="J35" s="26"/>
    </row>
    <row r="36" spans="1:10" ht="15.75" hidden="1" customHeight="1" x14ac:dyDescent="0.25">
      <c r="A36" s="25"/>
      <c r="B36" s="1" t="s">
        <v>8</v>
      </c>
      <c r="D36" s="43">
        <v>0.08</v>
      </c>
      <c r="G36" s="25"/>
      <c r="J36" s="26"/>
    </row>
    <row r="37" spans="1:10" ht="15.75" hidden="1" customHeight="1" x14ac:dyDescent="0.25">
      <c r="A37" s="25"/>
      <c r="G37" s="25"/>
      <c r="J37" s="26"/>
    </row>
    <row r="38" spans="1:10" ht="15.75" hidden="1" customHeight="1" x14ac:dyDescent="0.25">
      <c r="A38" s="25"/>
      <c r="G38" s="25"/>
      <c r="J38" s="26"/>
    </row>
    <row r="39" spans="1:10" ht="15.75" hidden="1" customHeight="1" x14ac:dyDescent="0.25">
      <c r="A39" s="25"/>
      <c r="G39" s="25"/>
      <c r="J39" s="26"/>
    </row>
    <row r="40" spans="1:10" hidden="1" x14ac:dyDescent="0.25">
      <c r="A40" s="25"/>
      <c r="B40" s="41"/>
      <c r="C40" s="41">
        <v>0.12</v>
      </c>
      <c r="D40" s="41" t="e">
        <f>((NPV(C40,$G$15:$Q$15)+(#REF!*(1+#REF!)/(C40-#REF!))/(1+C40)^(2040-2020))/$D$50)/$C$51-1</f>
        <v>#REF!</v>
      </c>
      <c r="G40" s="25"/>
      <c r="J40" s="26"/>
    </row>
    <row r="41" spans="1:10" hidden="1" x14ac:dyDescent="0.25">
      <c r="A41" s="25"/>
      <c r="B41" s="41"/>
      <c r="C41" s="41">
        <v>0.14000000000000001</v>
      </c>
      <c r="D41" s="41" t="e">
        <f>((NPV(C41,$G$15:$Q$15)+(#REF!*(1+#REF!)/(C41-#REF!))/(1+C41)^(2040-2020))/$D$50)/$C$51-1</f>
        <v>#REF!</v>
      </c>
      <c r="G41" s="25"/>
      <c r="J41" s="26"/>
    </row>
    <row r="42" spans="1:10" hidden="1" x14ac:dyDescent="0.25">
      <c r="A42" s="25"/>
      <c r="B42" s="41"/>
      <c r="C42" s="41">
        <v>0.16</v>
      </c>
      <c r="D42" s="41" t="e">
        <f>((NPV(C42,$G$15:$Q$15)+(#REF!*(1+#REF!)/(C42-#REF!))/(1+C42)^(2040-2020))/$D$50)/$C$51-1</f>
        <v>#REF!</v>
      </c>
      <c r="G42" s="25"/>
      <c r="J42" s="26"/>
    </row>
    <row r="43" spans="1:10" hidden="1" x14ac:dyDescent="0.25">
      <c r="A43" s="25"/>
      <c r="B43" s="41"/>
      <c r="C43" s="41">
        <v>0.18</v>
      </c>
      <c r="D43" s="41" t="e">
        <f>((NPV(C43,$G$15:$Q$15)+(#REF!*(1+#REF!)/(C43-#REF!))/(1+C43)^(2040-2020))/$D$50)/$C$51-1</f>
        <v>#REF!</v>
      </c>
      <c r="G43" s="25"/>
      <c r="J43" s="26"/>
    </row>
    <row r="44" spans="1:10" hidden="1" x14ac:dyDescent="0.25">
      <c r="A44" s="25"/>
      <c r="B44" s="41"/>
      <c r="C44" s="41">
        <v>0.2</v>
      </c>
      <c r="D44" s="41" t="e">
        <f>((NPV(C44,$G$15:$Q$15)+(#REF!*(1+#REF!)/(C44-#REF!))/(1+C44)^(2040-2020))/$D$50)/$C$51-1</f>
        <v>#REF!</v>
      </c>
      <c r="G44" s="25"/>
      <c r="J44" s="26"/>
    </row>
    <row r="45" spans="1:10" x14ac:dyDescent="0.25">
      <c r="A45" s="25"/>
      <c r="G45" s="25"/>
      <c r="J45" s="26"/>
    </row>
    <row r="46" spans="1:10" ht="16.5" thickBot="1" x14ac:dyDescent="0.3">
      <c r="A46" s="28"/>
      <c r="B46" s="29" t="s">
        <v>20</v>
      </c>
      <c r="C46" s="29"/>
      <c r="D46" s="44">
        <f>I33</f>
        <v>9.2750000000000013E-2</v>
      </c>
      <c r="E46" s="29"/>
      <c r="F46" s="29"/>
      <c r="G46" s="28"/>
      <c r="H46" s="29"/>
      <c r="I46" s="29"/>
      <c r="J46" s="30"/>
    </row>
    <row r="48" spans="1:10" x14ac:dyDescent="0.25">
      <c r="A48" s="16"/>
      <c r="B48" s="17"/>
      <c r="C48" s="85">
        <v>44575</v>
      </c>
      <c r="D48" s="18" t="s">
        <v>3</v>
      </c>
      <c r="E48" s="19"/>
      <c r="F48" s="20"/>
      <c r="G48" s="21"/>
      <c r="H48" s="21"/>
      <c r="I48" s="21"/>
    </row>
    <row r="49" spans="1:17" x14ac:dyDescent="0.25">
      <c r="A49" s="45" t="s">
        <v>0</v>
      </c>
      <c r="B49" s="46" t="s">
        <v>5</v>
      </c>
      <c r="C49" s="56">
        <f>C50*C51</f>
        <v>36706.740000000005</v>
      </c>
      <c r="D49" s="47">
        <f>SUM(G19:Q19)</f>
        <v>20771.828381297593</v>
      </c>
      <c r="E49" s="46" t="s">
        <v>47</v>
      </c>
    </row>
    <row r="50" spans="1:17" x14ac:dyDescent="0.25">
      <c r="A50" s="45"/>
      <c r="B50" s="46" t="s">
        <v>11</v>
      </c>
      <c r="C50" s="56">
        <v>116.4</v>
      </c>
      <c r="D50" s="56">
        <f>C50</f>
        <v>116.4</v>
      </c>
      <c r="E50" s="46"/>
    </row>
    <row r="51" spans="1:17" x14ac:dyDescent="0.25">
      <c r="A51" s="45"/>
      <c r="B51" s="46" t="s">
        <v>13</v>
      </c>
      <c r="C51" s="89">
        <v>315.35000000000002</v>
      </c>
      <c r="D51" s="56">
        <f>D49/(D50)</f>
        <v>178.45213385994495</v>
      </c>
      <c r="E51" s="46" t="s">
        <v>47</v>
      </c>
    </row>
    <row r="52" spans="1:17" x14ac:dyDescent="0.25">
      <c r="A52" s="45"/>
      <c r="B52" s="46" t="s">
        <v>2</v>
      </c>
      <c r="C52" s="46"/>
      <c r="D52" s="57">
        <f>IF(C51/D51-1&gt;0,0,C51/D51-1)*-1</f>
        <v>0</v>
      </c>
      <c r="E52" s="46"/>
    </row>
    <row r="53" spans="1:17" x14ac:dyDescent="0.25">
      <c r="A53" s="45"/>
      <c r="B53" s="46" t="s">
        <v>14</v>
      </c>
      <c r="C53" s="46"/>
      <c r="D53" s="58">
        <f>IF(C51/D51-1&lt;0,0,C51/D51-1)</f>
        <v>0.76714053891614986</v>
      </c>
      <c r="E53" s="46"/>
    </row>
    <row r="54" spans="1:17" x14ac:dyDescent="0.25">
      <c r="A54" s="46"/>
      <c r="B54" s="46"/>
      <c r="C54" s="46"/>
      <c r="D54" s="48"/>
      <c r="E54" s="48"/>
    </row>
    <row r="55" spans="1:17" x14ac:dyDescent="0.25">
      <c r="A55" s="48" t="s">
        <v>19</v>
      </c>
      <c r="B55" s="46"/>
      <c r="C55" s="50">
        <f>D46</f>
        <v>9.2750000000000013E-2</v>
      </c>
      <c r="D55" s="49"/>
      <c r="E55" s="46"/>
      <c r="J55" s="72"/>
    </row>
    <row r="56" spans="1:17" x14ac:dyDescent="0.25">
      <c r="A56" s="48"/>
      <c r="B56" s="46"/>
      <c r="C56" s="50"/>
      <c r="D56" s="49"/>
      <c r="E56" s="46"/>
    </row>
    <row r="57" spans="1:17" hidden="1" x14ac:dyDescent="0.25">
      <c r="A57" s="48" t="s">
        <v>22</v>
      </c>
      <c r="B57" s="75">
        <v>0.108</v>
      </c>
      <c r="C57" s="50"/>
      <c r="D57" s="76">
        <f>SUM(H57:Q57)*1000</f>
        <v>16437593.819698311</v>
      </c>
      <c r="E57" s="46"/>
      <c r="F57" s="1" t="s">
        <v>23</v>
      </c>
      <c r="H57" s="1">
        <f>G15/(1+$B$57)</f>
        <v>1212.6871335740072</v>
      </c>
      <c r="I57" s="1">
        <f>H15/(1+$B$57)^2</f>
        <v>1037.0509137679362</v>
      </c>
      <c r="J57" s="1">
        <f>I15/(1+$B$57)^3</f>
        <v>1023.6068719610622</v>
      </c>
      <c r="K57" s="1">
        <f>J15/(1+$B$57)^4</f>
        <v>987.34642997146648</v>
      </c>
      <c r="L57" s="1">
        <f>K15/(1+$B$57)^5</f>
        <v>956.6110591227125</v>
      </c>
      <c r="M57" s="1">
        <f>L15/(1+$B$57)^6</f>
        <v>910.85258788308795</v>
      </c>
      <c r="N57" s="1">
        <f>M15/(1+$B$57)^7</f>
        <v>878.05486461093756</v>
      </c>
      <c r="O57" s="1">
        <f>N15/(1+$B$57)^8</f>
        <v>824.16702093445372</v>
      </c>
      <c r="P57" s="1">
        <f>O15/(1+$B$57)^9</f>
        <v>779.1336029760331</v>
      </c>
      <c r="Q57" s="1">
        <f>(Q15/(B57-Q12))/(1+B57)^10</f>
        <v>7828.0833348966153</v>
      </c>
    </row>
    <row r="58" spans="1:17" ht="16.5" thickBot="1" x14ac:dyDescent="0.3">
      <c r="A58" s="22"/>
      <c r="C58" s="67"/>
      <c r="D58" s="68"/>
    </row>
    <row r="59" spans="1:17" x14ac:dyDescent="0.25">
      <c r="A59" s="59" t="s">
        <v>42</v>
      </c>
      <c r="B59" s="23"/>
      <c r="C59" s="69">
        <v>16</v>
      </c>
      <c r="D59" s="23"/>
      <c r="E59" s="24"/>
    </row>
    <row r="60" spans="1:17" x14ac:dyDescent="0.25">
      <c r="A60" s="25" t="s">
        <v>21</v>
      </c>
      <c r="C60" s="70"/>
      <c r="E60" s="26"/>
    </row>
    <row r="61" spans="1:17" x14ac:dyDescent="0.25">
      <c r="A61" s="25"/>
      <c r="C61" s="70"/>
      <c r="E61" s="26"/>
    </row>
    <row r="62" spans="1:17" x14ac:dyDescent="0.25">
      <c r="A62" s="25" t="s">
        <v>37</v>
      </c>
      <c r="C62" s="70"/>
      <c r="E62" s="60">
        <f>P17*C59</f>
        <v>287.62671831485255</v>
      </c>
    </row>
    <row r="63" spans="1:17" x14ac:dyDescent="0.25">
      <c r="A63" s="25"/>
      <c r="C63" s="70"/>
      <c r="E63" s="26"/>
    </row>
    <row r="64" spans="1:17" x14ac:dyDescent="0.25">
      <c r="A64" s="25" t="s">
        <v>17</v>
      </c>
      <c r="C64" s="71">
        <v>0.1</v>
      </c>
      <c r="E64" s="26"/>
    </row>
    <row r="65" spans="1:5" x14ac:dyDescent="0.25">
      <c r="A65" s="25"/>
      <c r="E65" s="26"/>
    </row>
    <row r="66" spans="1:5" x14ac:dyDescent="0.25">
      <c r="A66" s="25" t="s">
        <v>18</v>
      </c>
      <c r="E66" s="60">
        <f>SUM(G17:Q17)*C64</f>
        <v>14.455240161537061</v>
      </c>
    </row>
    <row r="67" spans="1:5" x14ac:dyDescent="0.25">
      <c r="A67" s="25"/>
      <c r="E67" s="61"/>
    </row>
    <row r="68" spans="1:5" x14ac:dyDescent="0.25">
      <c r="A68" s="62" t="s">
        <v>41</v>
      </c>
      <c r="E68" s="63">
        <f>(E66*0.25)*-1</f>
        <v>-3.6138100403842652</v>
      </c>
    </row>
    <row r="69" spans="1:5" x14ac:dyDescent="0.25">
      <c r="A69" s="25"/>
      <c r="C69" s="41"/>
      <c r="D69" s="41"/>
      <c r="E69" s="64"/>
    </row>
    <row r="70" spans="1:5" x14ac:dyDescent="0.25">
      <c r="A70" s="25" t="s">
        <v>43</v>
      </c>
      <c r="E70" s="60">
        <f>SUM(E62:E68)</f>
        <v>298.46814843600538</v>
      </c>
    </row>
    <row r="71" spans="1:5" x14ac:dyDescent="0.25">
      <c r="A71" s="25"/>
      <c r="E71" s="60"/>
    </row>
    <row r="72" spans="1:5" x14ac:dyDescent="0.25">
      <c r="A72" s="25" t="s">
        <v>44</v>
      </c>
      <c r="E72" s="64">
        <f>E70/C51-1</f>
        <v>-5.3533697681923731E-2</v>
      </c>
    </row>
    <row r="73" spans="1:5" x14ac:dyDescent="0.25">
      <c r="A73" s="25"/>
      <c r="E73" s="26"/>
    </row>
    <row r="74" spans="1:5" ht="16.5" thickBot="1" x14ac:dyDescent="0.3">
      <c r="A74" s="105" t="s">
        <v>45</v>
      </c>
      <c r="B74" s="106"/>
      <c r="C74" s="106"/>
      <c r="D74" s="106"/>
      <c r="E74" s="107">
        <f>(E70/C51)^(1/10)-1</f>
        <v>-5.4868829056574642E-3</v>
      </c>
    </row>
  </sheetData>
  <conditionalFormatting sqref="L6:L8">
    <cfRule type="top10" dxfId="11" priority="6" percent="1" rank="10"/>
  </conditionalFormatting>
  <conditionalFormatting sqref="G6:J8">
    <cfRule type="top10" dxfId="10" priority="5" percent="1" rank="10"/>
  </conditionalFormatting>
  <conditionalFormatting sqref="K9">
    <cfRule type="top10" dxfId="9" priority="4" percent="1" rank="10"/>
  </conditionalFormatting>
  <conditionalFormatting sqref="L2:L5">
    <cfRule type="top10" dxfId="8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CB34D-A856-4E94-9389-3AD72615DA53}">
  <dimension ref="A2:AB74"/>
  <sheetViews>
    <sheetView zoomScaleNormal="100" workbookViewId="0">
      <selection activeCell="B46" sqref="B46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17" width="16.25" style="1" customWidth="1"/>
    <col min="18" max="18" width="10.625" style="1" customWidth="1"/>
    <col min="19" max="16384" width="10.625" style="1"/>
  </cols>
  <sheetData>
    <row r="2" spans="1:28" ht="26.25" x14ac:dyDescent="0.4">
      <c r="B2" s="31" t="s">
        <v>10</v>
      </c>
    </row>
    <row r="4" spans="1:28" x14ac:dyDescent="0.25">
      <c r="B4" s="22" t="s">
        <v>48</v>
      </c>
    </row>
    <row r="6" spans="1:28" x14ac:dyDescent="0.25">
      <c r="B6" s="1" t="s">
        <v>33</v>
      </c>
    </row>
    <row r="9" spans="1:28" s="8" customFormat="1" x14ac:dyDescent="0.25">
      <c r="G9" s="9" t="s">
        <v>9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5">
      <c r="A10" s="4"/>
      <c r="B10" s="4"/>
      <c r="C10" s="11">
        <v>2018</v>
      </c>
      <c r="D10" s="11">
        <v>2019</v>
      </c>
      <c r="E10" s="11">
        <v>2020</v>
      </c>
      <c r="F10" s="11">
        <v>2021</v>
      </c>
      <c r="G10" s="55">
        <v>2022</v>
      </c>
      <c r="H10" s="55">
        <v>2023</v>
      </c>
      <c r="I10" s="55">
        <v>2024</v>
      </c>
      <c r="J10" s="55">
        <v>2025</v>
      </c>
      <c r="K10" s="55">
        <v>2026</v>
      </c>
      <c r="L10" s="55">
        <v>2027</v>
      </c>
      <c r="M10" s="55">
        <v>2028</v>
      </c>
      <c r="N10" s="55">
        <v>2029</v>
      </c>
      <c r="O10" s="55">
        <v>2030</v>
      </c>
      <c r="P10" s="55">
        <v>2031</v>
      </c>
      <c r="Q10" s="55" t="s">
        <v>46</v>
      </c>
    </row>
    <row r="11" spans="1:28" x14ac:dyDescent="0.25">
      <c r="A11" s="5"/>
      <c r="B11" s="4" t="s">
        <v>4</v>
      </c>
      <c r="C11" s="84">
        <v>4043.7</v>
      </c>
      <c r="D11" s="84">
        <v>4109.1099999999997</v>
      </c>
      <c r="E11" s="84">
        <v>4015.13</v>
      </c>
      <c r="F11" s="84">
        <v>5256.33</v>
      </c>
      <c r="G11" s="74">
        <v>6275.84</v>
      </c>
      <c r="H11" s="74">
        <v>6219.59</v>
      </c>
      <c r="I11" s="74">
        <v>6567.75</v>
      </c>
      <c r="J11" s="74">
        <f t="shared" ref="J11:Q11" si="0">I11*(1+J12)</f>
        <v>7224.5250000000005</v>
      </c>
      <c r="K11" s="74">
        <f t="shared" si="0"/>
        <v>7946.9775000000009</v>
      </c>
      <c r="L11" s="74">
        <f t="shared" si="0"/>
        <v>8701.9403625000014</v>
      </c>
      <c r="M11" s="74">
        <f t="shared" si="0"/>
        <v>9485.1149951250027</v>
      </c>
      <c r="N11" s="74">
        <f t="shared" si="0"/>
        <v>10243.924194735004</v>
      </c>
      <c r="O11" s="74">
        <f t="shared" si="0"/>
        <v>10858.559646419104</v>
      </c>
      <c r="P11" s="74">
        <f t="shared" si="0"/>
        <v>11347.194830507962</v>
      </c>
      <c r="Q11" s="74">
        <f t="shared" si="0"/>
        <v>11574.138727118121</v>
      </c>
    </row>
    <row r="12" spans="1:28" x14ac:dyDescent="0.25">
      <c r="A12" s="5"/>
      <c r="B12" s="4" t="s">
        <v>1</v>
      </c>
      <c r="C12" s="88"/>
      <c r="D12" s="91">
        <f t="shared" ref="D12:I12" si="1">D11/C11-1</f>
        <v>1.6175779607784824E-2</v>
      </c>
      <c r="E12" s="91">
        <f t="shared" si="1"/>
        <v>-2.2871132678365824E-2</v>
      </c>
      <c r="F12" s="91">
        <f t="shared" si="1"/>
        <v>0.30913071307778317</v>
      </c>
      <c r="G12" s="87">
        <f t="shared" si="1"/>
        <v>0.19395852239109801</v>
      </c>
      <c r="H12" s="87">
        <f t="shared" si="1"/>
        <v>-8.962943605955509E-3</v>
      </c>
      <c r="I12" s="87">
        <f t="shared" si="1"/>
        <v>5.5977966393283118E-2</v>
      </c>
      <c r="J12" s="87">
        <v>0.1</v>
      </c>
      <c r="K12" s="87">
        <v>0.1</v>
      </c>
      <c r="L12" s="73">
        <v>9.5000000000000001E-2</v>
      </c>
      <c r="M12" s="73">
        <v>0.09</v>
      </c>
      <c r="N12" s="73">
        <v>0.08</v>
      </c>
      <c r="O12" s="73">
        <v>0.06</v>
      </c>
      <c r="P12" s="73">
        <v>4.4999999999999998E-2</v>
      </c>
      <c r="Q12" s="12">
        <v>0.02</v>
      </c>
    </row>
    <row r="13" spans="1:28" ht="15.95" customHeight="1" x14ac:dyDescent="0.25">
      <c r="A13" s="5"/>
      <c r="B13" s="4" t="s">
        <v>15</v>
      </c>
      <c r="C13" s="90">
        <v>0.2072</v>
      </c>
      <c r="D13" s="90">
        <v>0.20619999999999999</v>
      </c>
      <c r="E13" s="90">
        <v>0.23100000000000001</v>
      </c>
      <c r="F13" s="90">
        <v>0.2697</v>
      </c>
      <c r="G13" s="86">
        <v>0.28760000000000002</v>
      </c>
      <c r="H13" s="86">
        <v>0.27589999999999998</v>
      </c>
      <c r="I13" s="86">
        <v>0.28439999999999999</v>
      </c>
      <c r="J13" s="86">
        <v>0.28499999999999998</v>
      </c>
      <c r="K13" s="86">
        <v>0.28999999999999998</v>
      </c>
      <c r="L13" s="86">
        <v>0.29499999999999998</v>
      </c>
      <c r="M13" s="86">
        <v>0.3</v>
      </c>
      <c r="N13" s="86">
        <v>0.31</v>
      </c>
      <c r="O13" s="86">
        <v>0.32</v>
      </c>
      <c r="P13" s="86">
        <v>0.32</v>
      </c>
      <c r="Q13" s="86">
        <v>0.32</v>
      </c>
    </row>
    <row r="14" spans="1:28" ht="17.100000000000001" customHeight="1" x14ac:dyDescent="0.25">
      <c r="A14" s="5"/>
      <c r="B14" s="4" t="s">
        <v>16</v>
      </c>
      <c r="C14" s="84">
        <f>C11*C13</f>
        <v>837.8546399999999</v>
      </c>
      <c r="D14" s="84">
        <f t="shared" ref="D14:J14" si="2">D11*D13</f>
        <v>847.29848199999992</v>
      </c>
      <c r="E14" s="84">
        <f t="shared" si="2"/>
        <v>927.49503000000004</v>
      </c>
      <c r="F14" s="84">
        <f t="shared" si="2"/>
        <v>1417.6322009999999</v>
      </c>
      <c r="G14" s="74">
        <f t="shared" si="2"/>
        <v>1804.9315840000002</v>
      </c>
      <c r="H14" s="74">
        <f t="shared" si="2"/>
        <v>1715.9848809999999</v>
      </c>
      <c r="I14" s="74">
        <f t="shared" si="2"/>
        <v>1867.8680999999999</v>
      </c>
      <c r="J14" s="74">
        <f t="shared" si="2"/>
        <v>2058.9896250000002</v>
      </c>
      <c r="K14" s="74">
        <f t="shared" ref="K14:Q14" si="3">K11*K13</f>
        <v>2304.6234749999999</v>
      </c>
      <c r="L14" s="74">
        <f t="shared" si="3"/>
        <v>2567.0724069375001</v>
      </c>
      <c r="M14" s="74">
        <f t="shared" si="3"/>
        <v>2845.5344985375009</v>
      </c>
      <c r="N14" s="74">
        <f t="shared" si="3"/>
        <v>3175.6165003678511</v>
      </c>
      <c r="O14" s="74">
        <f>O11*O13</f>
        <v>3474.7390868541133</v>
      </c>
      <c r="P14" s="74">
        <f t="shared" si="3"/>
        <v>3631.1023457625479</v>
      </c>
      <c r="Q14" s="74">
        <f t="shared" si="3"/>
        <v>3703.7243926777987</v>
      </c>
    </row>
    <row r="15" spans="1:28" x14ac:dyDescent="0.25">
      <c r="A15" s="102">
        <v>0.25</v>
      </c>
      <c r="B15" s="4" t="s">
        <v>39</v>
      </c>
      <c r="C15" s="84">
        <v>605.74625999999989</v>
      </c>
      <c r="D15" s="84">
        <v>615.54467799999986</v>
      </c>
      <c r="E15" s="84">
        <v>672.53427500000009</v>
      </c>
      <c r="F15" s="84">
        <v>1034.4457440000001</v>
      </c>
      <c r="G15" s="74">
        <v>1343.6573440000002</v>
      </c>
      <c r="H15" s="74">
        <v>1273.150073</v>
      </c>
      <c r="I15" s="74">
        <v>1392.3630000000001</v>
      </c>
      <c r="J15" s="74">
        <v>1043.6858249999998</v>
      </c>
      <c r="K15" s="74">
        <f>K14*(1-$A$15)</f>
        <v>1728.4676062499998</v>
      </c>
      <c r="L15" s="74">
        <f t="shared" ref="L15:Q15" si="4">L14*(1-$A$15)</f>
        <v>1925.3043052031251</v>
      </c>
      <c r="M15" s="74">
        <f t="shared" si="4"/>
        <v>2134.1508739031256</v>
      </c>
      <c r="N15" s="74">
        <f t="shared" si="4"/>
        <v>2381.7123752758885</v>
      </c>
      <c r="O15" s="74">
        <f>O14*(1-$A$15)</f>
        <v>2606.054315140585</v>
      </c>
      <c r="P15" s="74">
        <f t="shared" si="4"/>
        <v>2723.3267593219107</v>
      </c>
      <c r="Q15" s="74">
        <f t="shared" si="4"/>
        <v>2777.7932945083489</v>
      </c>
    </row>
    <row r="16" spans="1:28" ht="32.25" hidden="1" thickBot="1" x14ac:dyDescent="0.3">
      <c r="A16" s="13" t="s">
        <v>6</v>
      </c>
      <c r="B16" s="14"/>
      <c r="C16" s="15">
        <f t="shared" ref="C16:J16" si="5">C15/C14</f>
        <v>0.72297297297297292</v>
      </c>
      <c r="D16" s="15">
        <f t="shared" si="5"/>
        <v>0.72647914645974776</v>
      </c>
      <c r="E16" s="15">
        <f t="shared" si="5"/>
        <v>0.72510822510822515</v>
      </c>
      <c r="F16" s="15">
        <f t="shared" si="5"/>
        <v>0.72969966629588445</v>
      </c>
      <c r="G16" s="15">
        <f t="shared" si="5"/>
        <v>0.74443671766342145</v>
      </c>
      <c r="H16" s="15">
        <f t="shared" si="5"/>
        <v>0.74193548387096786</v>
      </c>
      <c r="I16" s="15">
        <f t="shared" si="5"/>
        <v>0.74542897327707458</v>
      </c>
      <c r="J16" s="15">
        <f t="shared" si="5"/>
        <v>0.50689222147003277</v>
      </c>
    </row>
    <row r="17" spans="1:18" x14ac:dyDescent="0.25">
      <c r="A17" s="2" t="s">
        <v>36</v>
      </c>
      <c r="C17" s="84"/>
      <c r="D17" s="84"/>
      <c r="E17" s="84"/>
      <c r="F17" s="84"/>
      <c r="G17" s="74">
        <f>G15/G18</f>
        <v>11.543447972508591</v>
      </c>
      <c r="H17" s="74">
        <f t="shared" ref="H17:O17" si="6">H15/H18</f>
        <v>11.076167497498803</v>
      </c>
      <c r="I17" s="74">
        <f t="shared" si="6"/>
        <v>12.266630545924276</v>
      </c>
      <c r="J17" s="74">
        <f t="shared" si="6"/>
        <v>9.3111964982674333</v>
      </c>
      <c r="K17" s="74">
        <f t="shared" si="6"/>
        <v>15.615642117941283</v>
      </c>
      <c r="L17" s="74">
        <f t="shared" si="6"/>
        <v>17.614117137138308</v>
      </c>
      <c r="M17" s="74">
        <f t="shared" si="6"/>
        <v>19.771950410106768</v>
      </c>
      <c r="N17" s="74">
        <f t="shared" si="6"/>
        <v>22.344806741953576</v>
      </c>
      <c r="O17" s="74">
        <f t="shared" si="6"/>
        <v>24.759031267850236</v>
      </c>
      <c r="P17" s="74">
        <f>P15/P18</f>
        <v>26.200696379649102</v>
      </c>
      <c r="Q17" s="74"/>
    </row>
    <row r="18" spans="1:18" ht="32.25" thickBot="1" x14ac:dyDescent="0.3">
      <c r="A18" s="2" t="s">
        <v>38</v>
      </c>
      <c r="C18" s="84"/>
      <c r="D18" s="84"/>
      <c r="E18" s="84"/>
      <c r="F18" s="84"/>
      <c r="G18" s="74">
        <f>C50</f>
        <v>116.4</v>
      </c>
      <c r="H18" s="74">
        <f>G18*0.9875</f>
        <v>114.94500000000001</v>
      </c>
      <c r="I18" s="74">
        <f t="shared" ref="I18:P18" si="7">H18*0.9875</f>
        <v>113.50818750000001</v>
      </c>
      <c r="J18" s="74">
        <f t="shared" si="7"/>
        <v>112.08933515625002</v>
      </c>
      <c r="K18" s="74">
        <f t="shared" si="7"/>
        <v>110.6882184667969</v>
      </c>
      <c r="L18" s="74">
        <f t="shared" si="7"/>
        <v>109.30461573596195</v>
      </c>
      <c r="M18" s="74">
        <f t="shared" si="7"/>
        <v>107.93830803926242</v>
      </c>
      <c r="N18" s="74">
        <f t="shared" si="7"/>
        <v>106.58907918877165</v>
      </c>
      <c r="O18" s="74">
        <f t="shared" si="7"/>
        <v>105.256715698912</v>
      </c>
      <c r="P18" s="74">
        <f t="shared" si="7"/>
        <v>103.94100675267561</v>
      </c>
      <c r="Q18" s="74"/>
    </row>
    <row r="19" spans="1:18" ht="16.5" thickBot="1" x14ac:dyDescent="0.3">
      <c r="A19" s="2"/>
      <c r="E19" s="51" t="s">
        <v>12</v>
      </c>
      <c r="F19" s="52"/>
      <c r="G19" s="53">
        <f>G15/(1+$C$55)</f>
        <v>1229.6109302219172</v>
      </c>
      <c r="H19" s="53">
        <f>H15/(1+$C$55)^2</f>
        <v>1066.1982588283743</v>
      </c>
      <c r="I19" s="53">
        <f>I15/(1+$C$55)^3</f>
        <v>1067.0629198304941</v>
      </c>
      <c r="J19" s="53">
        <f>J15/(1+$C$55)^4</f>
        <v>731.95861113664898</v>
      </c>
      <c r="K19" s="53">
        <f>K15/(1+$C$55)^5</f>
        <v>1109.3208324886982</v>
      </c>
      <c r="L19" s="53">
        <f>L15/(1+$C$55)^6</f>
        <v>1130.7705548786653</v>
      </c>
      <c r="M19" s="53">
        <f>M15/(1+$C$55)^7</f>
        <v>1147.0422435864223</v>
      </c>
      <c r="N19" s="53">
        <f>N15/(1+$C$55)^8</f>
        <v>1171.4473977052826</v>
      </c>
      <c r="O19" s="53">
        <f>O15/(1+$C$55)^9</f>
        <v>1172.9949072010741</v>
      </c>
      <c r="P19" s="53">
        <f>P15/(1+$C$55)^10</f>
        <v>1121.7384379090568</v>
      </c>
      <c r="Q19" s="54">
        <f>(Q15/(C55-Q12))/(1+C55)^10</f>
        <v>15727.466758312548</v>
      </c>
    </row>
    <row r="20" spans="1:18" x14ac:dyDescent="0.25">
      <c r="A20" s="2"/>
      <c r="C20" s="77"/>
      <c r="D20" s="42"/>
      <c r="G20" s="6"/>
      <c r="H20" s="7"/>
      <c r="I20" s="6"/>
      <c r="J20" s="6"/>
      <c r="K20" s="6"/>
      <c r="L20" s="6"/>
      <c r="M20" s="6"/>
      <c r="N20" s="6"/>
      <c r="O20" s="6"/>
      <c r="P20" s="3"/>
      <c r="Q20" s="3"/>
      <c r="R20" s="3"/>
    </row>
    <row r="21" spans="1:18" x14ac:dyDescent="0.25">
      <c r="A21" s="2"/>
      <c r="J21" s="103"/>
      <c r="K21" s="103"/>
      <c r="L21" s="103"/>
      <c r="M21" s="103"/>
      <c r="N21" s="103"/>
      <c r="O21" s="103"/>
      <c r="P21" s="103"/>
      <c r="Q21" s="103"/>
      <c r="R21" s="3"/>
    </row>
    <row r="22" spans="1:18" ht="16.5" thickBot="1" x14ac:dyDescent="0.3">
      <c r="P22" s="3"/>
      <c r="Q22" s="3"/>
      <c r="R22" s="3"/>
    </row>
    <row r="23" spans="1:18" x14ac:dyDescent="0.25">
      <c r="A23" s="32" t="s">
        <v>24</v>
      </c>
      <c r="B23" s="33"/>
      <c r="C23" s="33"/>
      <c r="D23" s="34"/>
      <c r="E23" s="23"/>
      <c r="F23" s="33"/>
      <c r="G23" s="59" t="s">
        <v>25</v>
      </c>
      <c r="H23" s="23"/>
      <c r="I23" s="80">
        <v>3.7499999999999999E-2</v>
      </c>
      <c r="J23" s="24" t="s">
        <v>26</v>
      </c>
    </row>
    <row r="24" spans="1:18" x14ac:dyDescent="0.25">
      <c r="A24" s="35"/>
      <c r="B24" s="36"/>
      <c r="C24" s="36"/>
      <c r="D24" s="37"/>
      <c r="E24" s="36"/>
      <c r="F24" s="36"/>
      <c r="G24" s="25"/>
      <c r="I24" s="81"/>
      <c r="J24" s="26"/>
    </row>
    <row r="25" spans="1:18" x14ac:dyDescent="0.25">
      <c r="A25" s="35"/>
      <c r="B25" s="36"/>
      <c r="C25" s="36"/>
      <c r="D25" s="38"/>
      <c r="F25" s="36"/>
      <c r="G25" s="25" t="s">
        <v>27</v>
      </c>
      <c r="I25" s="82">
        <f>(I27-I23)*I29</f>
        <v>5.5250000000000014E-2</v>
      </c>
      <c r="J25" s="26"/>
    </row>
    <row r="26" spans="1:18" x14ac:dyDescent="0.25">
      <c r="A26" s="35"/>
      <c r="B26" s="36"/>
      <c r="C26" s="36"/>
      <c r="D26" s="38"/>
      <c r="F26" s="36"/>
      <c r="G26" s="25"/>
      <c r="I26" s="81"/>
      <c r="J26" s="26"/>
    </row>
    <row r="27" spans="1:18" x14ac:dyDescent="0.25">
      <c r="A27" s="35"/>
      <c r="B27" s="36"/>
      <c r="C27" s="36"/>
      <c r="D27" s="38"/>
      <c r="F27" s="36"/>
      <c r="G27" s="25" t="s">
        <v>28</v>
      </c>
      <c r="I27" s="83">
        <v>7.0000000000000007E-2</v>
      </c>
      <c r="J27" s="26" t="s">
        <v>29</v>
      </c>
    </row>
    <row r="28" spans="1:18" x14ac:dyDescent="0.25">
      <c r="A28" s="35"/>
      <c r="B28" s="36"/>
      <c r="C28" s="36"/>
      <c r="D28" s="39"/>
      <c r="F28" s="36"/>
      <c r="G28" s="25"/>
      <c r="I28" s="81"/>
      <c r="J28" s="26"/>
    </row>
    <row r="29" spans="1:18" x14ac:dyDescent="0.25">
      <c r="A29" s="35"/>
      <c r="B29" s="36"/>
      <c r="C29" s="36"/>
      <c r="D29" s="39"/>
      <c r="F29" s="36"/>
      <c r="G29" s="25" t="s">
        <v>35</v>
      </c>
      <c r="I29" s="81">
        <v>1.7</v>
      </c>
      <c r="J29" s="26" t="s">
        <v>30</v>
      </c>
    </row>
    <row r="30" spans="1:18" x14ac:dyDescent="0.25">
      <c r="A30" s="35"/>
      <c r="B30" s="36"/>
      <c r="C30" s="36"/>
      <c r="D30" s="40"/>
      <c r="F30" s="36"/>
      <c r="G30" s="25"/>
      <c r="I30" s="81"/>
      <c r="J30" s="26"/>
    </row>
    <row r="31" spans="1:18" x14ac:dyDescent="0.25">
      <c r="A31" s="35"/>
      <c r="B31" s="36"/>
      <c r="C31" s="36"/>
      <c r="D31" s="37"/>
      <c r="F31" s="36"/>
      <c r="G31" s="25" t="s">
        <v>31</v>
      </c>
      <c r="I31" s="83">
        <f>I23+(I27-I23)*I29</f>
        <v>9.2750000000000013E-2</v>
      </c>
      <c r="J31" s="26" t="s">
        <v>32</v>
      </c>
    </row>
    <row r="32" spans="1:18" x14ac:dyDescent="0.25">
      <c r="A32" s="25"/>
      <c r="C32" s="41"/>
      <c r="E32" s="36"/>
      <c r="F32" s="36"/>
      <c r="G32" s="25"/>
      <c r="J32" s="26"/>
    </row>
    <row r="33" spans="1:10" x14ac:dyDescent="0.25">
      <c r="A33" s="25"/>
      <c r="G33" s="78" t="s">
        <v>34</v>
      </c>
      <c r="H33" s="22"/>
      <c r="I33" s="79">
        <f>I31</f>
        <v>9.2750000000000013E-2</v>
      </c>
      <c r="J33" s="26"/>
    </row>
    <row r="34" spans="1:10" x14ac:dyDescent="0.25">
      <c r="A34" s="35" t="s">
        <v>7</v>
      </c>
      <c r="B34" s="36"/>
      <c r="C34" s="42"/>
      <c r="D34" s="27"/>
      <c r="G34" s="25"/>
      <c r="J34" s="26"/>
    </row>
    <row r="35" spans="1:10" ht="15.75" hidden="1" customHeight="1" x14ac:dyDescent="0.25">
      <c r="A35" s="25"/>
      <c r="G35" s="25"/>
      <c r="J35" s="26"/>
    </row>
    <row r="36" spans="1:10" ht="15.75" hidden="1" customHeight="1" x14ac:dyDescent="0.25">
      <c r="A36" s="25"/>
      <c r="B36" s="1" t="s">
        <v>8</v>
      </c>
      <c r="D36" s="43">
        <v>0.08</v>
      </c>
      <c r="G36" s="25"/>
      <c r="J36" s="26"/>
    </row>
    <row r="37" spans="1:10" ht="15.75" hidden="1" customHeight="1" x14ac:dyDescent="0.25">
      <c r="A37" s="25"/>
      <c r="G37" s="25"/>
      <c r="J37" s="26"/>
    </row>
    <row r="38" spans="1:10" ht="15.75" hidden="1" customHeight="1" x14ac:dyDescent="0.25">
      <c r="A38" s="25"/>
      <c r="G38" s="25"/>
      <c r="J38" s="26"/>
    </row>
    <row r="39" spans="1:10" ht="15.75" hidden="1" customHeight="1" x14ac:dyDescent="0.25">
      <c r="A39" s="25"/>
      <c r="G39" s="25"/>
      <c r="J39" s="26"/>
    </row>
    <row r="40" spans="1:10" hidden="1" x14ac:dyDescent="0.25">
      <c r="A40" s="25"/>
      <c r="B40" s="41"/>
      <c r="C40" s="41">
        <v>0.12</v>
      </c>
      <c r="D40" s="41" t="e">
        <f>((NPV(C40,$G$15:$Q$15)+(#REF!*(1+#REF!)/(C40-#REF!))/(1+C40)^(2040-2020))/$D$50)/$C$51-1</f>
        <v>#REF!</v>
      </c>
      <c r="G40" s="25"/>
      <c r="J40" s="26"/>
    </row>
    <row r="41" spans="1:10" hidden="1" x14ac:dyDescent="0.25">
      <c r="A41" s="25"/>
      <c r="B41" s="41"/>
      <c r="C41" s="41">
        <v>0.14000000000000001</v>
      </c>
      <c r="D41" s="41" t="e">
        <f>((NPV(C41,$G$15:$Q$15)+(#REF!*(1+#REF!)/(C41-#REF!))/(1+C41)^(2040-2020))/$D$50)/$C$51-1</f>
        <v>#REF!</v>
      </c>
      <c r="G41" s="25"/>
      <c r="J41" s="26"/>
    </row>
    <row r="42" spans="1:10" hidden="1" x14ac:dyDescent="0.25">
      <c r="A42" s="25"/>
      <c r="B42" s="41"/>
      <c r="C42" s="41">
        <v>0.16</v>
      </c>
      <c r="D42" s="41" t="e">
        <f>((NPV(C42,$G$15:$Q$15)+(#REF!*(1+#REF!)/(C42-#REF!))/(1+C42)^(2040-2020))/$D$50)/$C$51-1</f>
        <v>#REF!</v>
      </c>
      <c r="G42" s="25"/>
      <c r="J42" s="26"/>
    </row>
    <row r="43" spans="1:10" hidden="1" x14ac:dyDescent="0.25">
      <c r="A43" s="25"/>
      <c r="B43" s="41"/>
      <c r="C43" s="41">
        <v>0.18</v>
      </c>
      <c r="D43" s="41" t="e">
        <f>((NPV(C43,$G$15:$Q$15)+(#REF!*(1+#REF!)/(C43-#REF!))/(1+C43)^(2040-2020))/$D$50)/$C$51-1</f>
        <v>#REF!</v>
      </c>
      <c r="G43" s="25"/>
      <c r="J43" s="26"/>
    </row>
    <row r="44" spans="1:10" hidden="1" x14ac:dyDescent="0.25">
      <c r="A44" s="25"/>
      <c r="B44" s="41"/>
      <c r="C44" s="41">
        <v>0.2</v>
      </c>
      <c r="D44" s="41" t="e">
        <f>((NPV(C44,$G$15:$Q$15)+(#REF!*(1+#REF!)/(C44-#REF!))/(1+C44)^(2040-2020))/$D$50)/$C$51-1</f>
        <v>#REF!</v>
      </c>
      <c r="G44" s="25"/>
      <c r="J44" s="26"/>
    </row>
    <row r="45" spans="1:10" x14ac:dyDescent="0.25">
      <c r="A45" s="25"/>
      <c r="G45" s="25"/>
      <c r="J45" s="26"/>
    </row>
    <row r="46" spans="1:10" ht="16.5" thickBot="1" x14ac:dyDescent="0.3">
      <c r="A46" s="28"/>
      <c r="B46" s="29" t="s">
        <v>20</v>
      </c>
      <c r="C46" s="29"/>
      <c r="D46" s="44">
        <f>I33</f>
        <v>9.2750000000000013E-2</v>
      </c>
      <c r="E46" s="29"/>
      <c r="F46" s="29"/>
      <c r="G46" s="28"/>
      <c r="H46" s="29"/>
      <c r="I46" s="29"/>
      <c r="J46" s="30"/>
    </row>
    <row r="48" spans="1:10" x14ac:dyDescent="0.25">
      <c r="A48" s="16"/>
      <c r="B48" s="17"/>
      <c r="C48" s="85">
        <v>44575</v>
      </c>
      <c r="D48" s="18" t="s">
        <v>3</v>
      </c>
      <c r="E48" s="19"/>
      <c r="F48" s="20"/>
      <c r="G48" s="21"/>
      <c r="H48" s="21"/>
      <c r="I48" s="21"/>
    </row>
    <row r="49" spans="1:17" x14ac:dyDescent="0.25">
      <c r="A49" s="45" t="s">
        <v>0</v>
      </c>
      <c r="B49" s="46" t="s">
        <v>5</v>
      </c>
      <c r="C49" s="56">
        <f>C50*C51</f>
        <v>36706.740000000005</v>
      </c>
      <c r="D49" s="47">
        <f>SUM(G19:Q19)</f>
        <v>26675.61185209918</v>
      </c>
      <c r="E49" s="46" t="s">
        <v>47</v>
      </c>
    </row>
    <row r="50" spans="1:17" x14ac:dyDescent="0.25">
      <c r="A50" s="45"/>
      <c r="B50" s="46" t="s">
        <v>11</v>
      </c>
      <c r="C50" s="56">
        <v>116.4</v>
      </c>
      <c r="D50" s="56">
        <f>C50</f>
        <v>116.4</v>
      </c>
      <c r="E50" s="46"/>
    </row>
    <row r="51" spans="1:17" x14ac:dyDescent="0.25">
      <c r="A51" s="45"/>
      <c r="B51" s="46" t="s">
        <v>13</v>
      </c>
      <c r="C51" s="89">
        <v>315.35000000000002</v>
      </c>
      <c r="D51" s="56">
        <f>D49/(D50)</f>
        <v>229.17192312799983</v>
      </c>
      <c r="E51" s="46" t="s">
        <v>47</v>
      </c>
    </row>
    <row r="52" spans="1:17" x14ac:dyDescent="0.25">
      <c r="A52" s="45"/>
      <c r="B52" s="46" t="s">
        <v>2</v>
      </c>
      <c r="C52" s="46"/>
      <c r="D52" s="57">
        <f>IF(C51/D51-1&gt;0,0,C51/D51-1)*-1</f>
        <v>0</v>
      </c>
      <c r="E52" s="46"/>
    </row>
    <row r="53" spans="1:17" x14ac:dyDescent="0.25">
      <c r="A53" s="45"/>
      <c r="B53" s="46" t="s">
        <v>14</v>
      </c>
      <c r="C53" s="46"/>
      <c r="D53" s="58">
        <f>IF(C51/D51-1&lt;0,0,C51/D51-1)</f>
        <v>0.37604116462323778</v>
      </c>
      <c r="E53" s="46"/>
    </row>
    <row r="54" spans="1:17" x14ac:dyDescent="0.25">
      <c r="A54" s="46"/>
      <c r="B54" s="46"/>
      <c r="C54" s="46"/>
      <c r="D54" s="48"/>
      <c r="E54" s="48"/>
    </row>
    <row r="55" spans="1:17" x14ac:dyDescent="0.25">
      <c r="A55" s="48" t="s">
        <v>19</v>
      </c>
      <c r="B55" s="46"/>
      <c r="C55" s="50">
        <f>D46</f>
        <v>9.2750000000000013E-2</v>
      </c>
      <c r="D55" s="49"/>
      <c r="E55" s="46"/>
      <c r="J55" s="72"/>
    </row>
    <row r="56" spans="1:17" x14ac:dyDescent="0.25">
      <c r="A56" s="48"/>
      <c r="B56" s="46"/>
      <c r="C56" s="50"/>
      <c r="D56" s="49"/>
      <c r="E56" s="46"/>
    </row>
    <row r="57" spans="1:17" hidden="1" x14ac:dyDescent="0.25">
      <c r="A57" s="48" t="s">
        <v>22</v>
      </c>
      <c r="B57" s="75">
        <v>0.108</v>
      </c>
      <c r="C57" s="50"/>
      <c r="D57" s="76">
        <f>SUM(H57:Q57)*1000</f>
        <v>20485669.051200066</v>
      </c>
      <c r="E57" s="46"/>
      <c r="F57" s="1" t="s">
        <v>23</v>
      </c>
      <c r="H57" s="1">
        <f>G15/(1+$B$57)</f>
        <v>1212.6871335740072</v>
      </c>
      <c r="I57" s="1">
        <f>H15/(1+$B$57)^2</f>
        <v>1037.0509137679362</v>
      </c>
      <c r="J57" s="1">
        <f>I15/(1+$B$57)^3</f>
        <v>1023.6068719610622</v>
      </c>
      <c r="K57" s="1">
        <f>J15/(1+$B$57)^4</f>
        <v>692.48559468379517</v>
      </c>
      <c r="L57" s="1">
        <f>K15/(1+$B$57)^5</f>
        <v>1035.0526527215256</v>
      </c>
      <c r="M57" s="1">
        <f>L15/(1+$B$57)^6</f>
        <v>1040.5448871697088</v>
      </c>
      <c r="N57" s="1">
        <f>M15/(1+$B$57)^7</f>
        <v>1040.990571206311</v>
      </c>
      <c r="O57" s="1">
        <f>N15/(1+$B$57)^8</f>
        <v>1048.5067486157425</v>
      </c>
      <c r="P57" s="1">
        <f>O15/(1+$B$57)^9</f>
        <v>1035.4416243462788</v>
      </c>
      <c r="Q57" s="1">
        <f>(Q15/(B57-Q12))/(1+B57)^10</f>
        <v>11319.302053153699</v>
      </c>
    </row>
    <row r="58" spans="1:17" ht="16.5" thickBot="1" x14ac:dyDescent="0.3">
      <c r="A58" s="22"/>
      <c r="C58" s="67"/>
      <c r="D58" s="68"/>
    </row>
    <row r="59" spans="1:17" x14ac:dyDescent="0.25">
      <c r="A59" s="59" t="s">
        <v>42</v>
      </c>
      <c r="B59" s="23"/>
      <c r="C59" s="69">
        <v>25</v>
      </c>
      <c r="D59" s="23"/>
      <c r="E59" s="24"/>
    </row>
    <row r="60" spans="1:17" x14ac:dyDescent="0.25">
      <c r="A60" s="25" t="s">
        <v>21</v>
      </c>
      <c r="C60" s="70" t="s">
        <v>40</v>
      </c>
      <c r="E60" s="26"/>
    </row>
    <row r="61" spans="1:17" x14ac:dyDescent="0.25">
      <c r="A61" s="25"/>
      <c r="C61" s="70"/>
      <c r="E61" s="26"/>
    </row>
    <row r="62" spans="1:17" x14ac:dyDescent="0.25">
      <c r="A62" s="25" t="s">
        <v>37</v>
      </c>
      <c r="C62" s="70"/>
      <c r="E62" s="60">
        <f>P17*C59</f>
        <v>655.01740949122757</v>
      </c>
    </row>
    <row r="63" spans="1:17" x14ac:dyDescent="0.25">
      <c r="A63" s="25"/>
      <c r="C63" s="70"/>
      <c r="E63" s="26"/>
    </row>
    <row r="64" spans="1:17" x14ac:dyDescent="0.25">
      <c r="A64" s="25" t="s">
        <v>17</v>
      </c>
      <c r="C64" s="71">
        <v>0.15</v>
      </c>
      <c r="E64" s="26"/>
    </row>
    <row r="65" spans="1:5" x14ac:dyDescent="0.25">
      <c r="A65" s="25"/>
      <c r="E65" s="26"/>
    </row>
    <row r="66" spans="1:5" x14ac:dyDescent="0.25">
      <c r="A66" s="25" t="s">
        <v>18</v>
      </c>
      <c r="E66" s="60">
        <f>SUM(G17:Q17)*C64</f>
        <v>25.575552985325753</v>
      </c>
    </row>
    <row r="67" spans="1:5" x14ac:dyDescent="0.25">
      <c r="A67" s="25"/>
      <c r="E67" s="61"/>
    </row>
    <row r="68" spans="1:5" x14ac:dyDescent="0.25">
      <c r="A68" s="62" t="s">
        <v>41</v>
      </c>
      <c r="E68" s="63">
        <f>(E66*0.25)*-1</f>
        <v>-6.3938882463314384</v>
      </c>
    </row>
    <row r="69" spans="1:5" x14ac:dyDescent="0.25">
      <c r="A69" s="25"/>
      <c r="C69" s="41"/>
      <c r="D69" s="41"/>
      <c r="E69" s="64"/>
    </row>
    <row r="70" spans="1:5" x14ac:dyDescent="0.25">
      <c r="A70" s="25" t="s">
        <v>43</v>
      </c>
      <c r="E70" s="60">
        <f>SUM(E62:E68)</f>
        <v>674.19907423022187</v>
      </c>
    </row>
    <row r="71" spans="1:5" x14ac:dyDescent="0.25">
      <c r="A71" s="25"/>
      <c r="E71" s="60"/>
    </row>
    <row r="72" spans="1:5" x14ac:dyDescent="0.25">
      <c r="A72" s="25" t="s">
        <v>44</v>
      </c>
      <c r="E72" s="64">
        <f>E70/C51-1</f>
        <v>1.1379390335507273</v>
      </c>
    </row>
    <row r="73" spans="1:5" x14ac:dyDescent="0.25">
      <c r="A73" s="25"/>
      <c r="E73" s="26"/>
    </row>
    <row r="74" spans="1:5" ht="16.5" thickBot="1" x14ac:dyDescent="0.3">
      <c r="A74" s="65" t="s">
        <v>45</v>
      </c>
      <c r="B74" s="66"/>
      <c r="C74" s="66"/>
      <c r="D74" s="66"/>
      <c r="E74" s="104">
        <f>(E70/C51)^(1/10)-1</f>
        <v>7.8945558679542005E-2</v>
      </c>
    </row>
  </sheetData>
  <conditionalFormatting sqref="L6:L8">
    <cfRule type="top10" dxfId="7" priority="6" percent="1" rank="10"/>
  </conditionalFormatting>
  <conditionalFormatting sqref="G6:J8">
    <cfRule type="top10" dxfId="6" priority="5" percent="1" rank="10"/>
  </conditionalFormatting>
  <conditionalFormatting sqref="L9">
    <cfRule type="top10" dxfId="5" priority="4" percent="1" rank="10"/>
  </conditionalFormatting>
  <conditionalFormatting sqref="L2:L5">
    <cfRule type="top10" dxfId="4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52E19-683E-48EC-9C64-69D5A2053526}">
  <dimension ref="A2:AB74"/>
  <sheetViews>
    <sheetView zoomScaleNormal="100" workbookViewId="0">
      <selection activeCell="G58" sqref="G58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17" width="16.25" style="1" customWidth="1"/>
    <col min="18" max="18" width="10.625" style="1" customWidth="1"/>
    <col min="19" max="16384" width="10.625" style="1"/>
  </cols>
  <sheetData>
    <row r="2" spans="1:28" ht="26.25" x14ac:dyDescent="0.4">
      <c r="B2" s="31" t="s">
        <v>10</v>
      </c>
    </row>
    <row r="4" spans="1:28" x14ac:dyDescent="0.25">
      <c r="B4" s="22" t="s">
        <v>48</v>
      </c>
    </row>
    <row r="6" spans="1:28" x14ac:dyDescent="0.25">
      <c r="B6" s="1" t="s">
        <v>33</v>
      </c>
    </row>
    <row r="9" spans="1:28" s="8" customFormat="1" x14ac:dyDescent="0.25">
      <c r="G9" s="9" t="s">
        <v>9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5">
      <c r="A10" s="4"/>
      <c r="B10" s="4"/>
      <c r="C10" s="11">
        <v>2018</v>
      </c>
      <c r="D10" s="11">
        <v>2019</v>
      </c>
      <c r="E10" s="11">
        <v>2020</v>
      </c>
      <c r="F10" s="11">
        <v>2021</v>
      </c>
      <c r="G10" s="55">
        <v>2022</v>
      </c>
      <c r="H10" s="55">
        <v>2023</v>
      </c>
      <c r="I10" s="55">
        <v>2024</v>
      </c>
      <c r="J10" s="55">
        <v>2025</v>
      </c>
      <c r="K10" s="55">
        <v>2026</v>
      </c>
      <c r="L10" s="55">
        <v>2027</v>
      </c>
      <c r="M10" s="55">
        <v>2028</v>
      </c>
      <c r="N10" s="55">
        <v>2029</v>
      </c>
      <c r="O10" s="55">
        <v>2030</v>
      </c>
      <c r="P10" s="55">
        <v>2031</v>
      </c>
      <c r="Q10" s="55" t="s">
        <v>46</v>
      </c>
    </row>
    <row r="11" spans="1:28" x14ac:dyDescent="0.25">
      <c r="A11" s="5"/>
      <c r="B11" s="4" t="s">
        <v>4</v>
      </c>
      <c r="C11" s="84">
        <v>4043.7</v>
      </c>
      <c r="D11" s="84">
        <v>4109.1099999999997</v>
      </c>
      <c r="E11" s="84">
        <v>4015.13</v>
      </c>
      <c r="F11" s="84">
        <v>5256.33</v>
      </c>
      <c r="G11" s="74">
        <f t="shared" ref="G11" si="0">F11*(1+G12)</f>
        <v>5913.3712500000001</v>
      </c>
      <c r="H11" s="74">
        <f t="shared" ref="H11" si="1">G11*(1+H12)</f>
        <v>6652.5426562499997</v>
      </c>
      <c r="I11" s="74">
        <f t="shared" ref="I11" si="2">H11*(1+I12)</f>
        <v>7484.1104882812497</v>
      </c>
      <c r="J11" s="74">
        <f t="shared" ref="J11" si="3">I11*(1+J12)</f>
        <v>8419.6242993164051</v>
      </c>
      <c r="K11" s="74">
        <f t="shared" ref="K11:Q11" si="4">J11*(1+K12)</f>
        <v>9472.0773367309557</v>
      </c>
      <c r="L11" s="74">
        <f t="shared" si="4"/>
        <v>10656.087003822326</v>
      </c>
      <c r="M11" s="74">
        <f t="shared" si="4"/>
        <v>11988.097879300116</v>
      </c>
      <c r="N11" s="74">
        <f t="shared" si="4"/>
        <v>13486.61011421263</v>
      </c>
      <c r="O11" s="74">
        <f t="shared" si="4"/>
        <v>15172.436378489208</v>
      </c>
      <c r="P11" s="74">
        <f t="shared" si="4"/>
        <v>16537.955652553239</v>
      </c>
      <c r="Q11" s="74">
        <f t="shared" si="4"/>
        <v>16868.714765604305</v>
      </c>
    </row>
    <row r="12" spans="1:28" x14ac:dyDescent="0.25">
      <c r="A12" s="5"/>
      <c r="B12" s="4" t="s">
        <v>1</v>
      </c>
      <c r="C12" s="88"/>
      <c r="D12" s="91">
        <f t="shared" ref="D12:F12" si="5">D11/C11-1</f>
        <v>1.6175779607784824E-2</v>
      </c>
      <c r="E12" s="91">
        <f t="shared" si="5"/>
        <v>-2.2871132678365824E-2</v>
      </c>
      <c r="F12" s="91">
        <f t="shared" si="5"/>
        <v>0.30913071307778317</v>
      </c>
      <c r="G12" s="87">
        <v>0.125</v>
      </c>
      <c r="H12" s="87">
        <f>G12</f>
        <v>0.125</v>
      </c>
      <c r="I12" s="87">
        <f t="shared" ref="I12:O12" si="6">H12</f>
        <v>0.125</v>
      </c>
      <c r="J12" s="87">
        <f t="shared" si="6"/>
        <v>0.125</v>
      </c>
      <c r="K12" s="87">
        <f t="shared" si="6"/>
        <v>0.125</v>
      </c>
      <c r="L12" s="87">
        <f t="shared" si="6"/>
        <v>0.125</v>
      </c>
      <c r="M12" s="87">
        <f t="shared" si="6"/>
        <v>0.125</v>
      </c>
      <c r="N12" s="87">
        <f t="shared" si="6"/>
        <v>0.125</v>
      </c>
      <c r="O12" s="87">
        <f t="shared" si="6"/>
        <v>0.125</v>
      </c>
      <c r="P12" s="87">
        <v>0.09</v>
      </c>
      <c r="Q12" s="87">
        <v>0.02</v>
      </c>
    </row>
    <row r="13" spans="1:28" ht="15.95" customHeight="1" x14ac:dyDescent="0.25">
      <c r="A13" s="5"/>
      <c r="B13" s="4" t="s">
        <v>15</v>
      </c>
      <c r="C13" s="90">
        <v>0.2072</v>
      </c>
      <c r="D13" s="90">
        <v>0.20619999999999999</v>
      </c>
      <c r="E13" s="90">
        <v>0.23100000000000001</v>
      </c>
      <c r="F13" s="90">
        <v>0.2697</v>
      </c>
      <c r="G13" s="86">
        <v>0.28760000000000002</v>
      </c>
      <c r="H13" s="86">
        <v>0.27589999999999998</v>
      </c>
      <c r="I13" s="86">
        <v>0.28439999999999999</v>
      </c>
      <c r="J13" s="86">
        <v>0.28499999999999998</v>
      </c>
      <c r="K13" s="86">
        <v>0.28999999999999998</v>
      </c>
      <c r="L13" s="86">
        <v>0.29499999999999998</v>
      </c>
      <c r="M13" s="86">
        <v>0.3</v>
      </c>
      <c r="N13" s="86">
        <v>0.31</v>
      </c>
      <c r="O13" s="86">
        <v>0.32</v>
      </c>
      <c r="P13" s="86">
        <v>0.32</v>
      </c>
      <c r="Q13" s="86">
        <v>0.32</v>
      </c>
    </row>
    <row r="14" spans="1:28" ht="17.100000000000001" customHeight="1" x14ac:dyDescent="0.25">
      <c r="A14" s="5"/>
      <c r="B14" s="4" t="s">
        <v>16</v>
      </c>
      <c r="C14" s="84">
        <f>C11*C13</f>
        <v>837.8546399999999</v>
      </c>
      <c r="D14" s="84">
        <f t="shared" ref="D14:Q14" si="7">D11*D13</f>
        <v>847.29848199999992</v>
      </c>
      <c r="E14" s="84">
        <f t="shared" si="7"/>
        <v>927.49503000000004</v>
      </c>
      <c r="F14" s="84">
        <f t="shared" si="7"/>
        <v>1417.6322009999999</v>
      </c>
      <c r="G14" s="74">
        <f t="shared" si="7"/>
        <v>1700.6855715000002</v>
      </c>
      <c r="H14" s="74">
        <f t="shared" si="7"/>
        <v>1835.4365188593747</v>
      </c>
      <c r="I14" s="74">
        <f t="shared" si="7"/>
        <v>2128.4810228671872</v>
      </c>
      <c r="J14" s="74">
        <f t="shared" si="7"/>
        <v>2399.5929253051754</v>
      </c>
      <c r="K14" s="74">
        <f t="shared" si="7"/>
        <v>2746.9024276519772</v>
      </c>
      <c r="L14" s="74">
        <f t="shared" si="7"/>
        <v>3143.5456661275857</v>
      </c>
      <c r="M14" s="74">
        <f t="shared" si="7"/>
        <v>3596.4293637900346</v>
      </c>
      <c r="N14" s="74">
        <f t="shared" si="7"/>
        <v>4180.8491354059151</v>
      </c>
      <c r="O14" s="74">
        <f>O11*O13</f>
        <v>4855.1796411165469</v>
      </c>
      <c r="P14" s="74">
        <f t="shared" si="7"/>
        <v>5292.1458088170366</v>
      </c>
      <c r="Q14" s="74">
        <f t="shared" si="7"/>
        <v>5397.9887249933781</v>
      </c>
    </row>
    <row r="15" spans="1:28" x14ac:dyDescent="0.25">
      <c r="A15" s="102">
        <v>0.25</v>
      </c>
      <c r="B15" s="4" t="s">
        <v>39</v>
      </c>
      <c r="C15" s="84">
        <v>605.74625999999989</v>
      </c>
      <c r="D15" s="84">
        <v>615.54467799999986</v>
      </c>
      <c r="E15" s="84">
        <v>672.53427500000009</v>
      </c>
      <c r="F15" s="84">
        <v>1034.4457440000001</v>
      </c>
      <c r="G15" s="74">
        <v>1343.6573440000002</v>
      </c>
      <c r="H15" s="74">
        <v>1273.150073</v>
      </c>
      <c r="I15" s="74">
        <v>1392.3630000000001</v>
      </c>
      <c r="J15" s="74">
        <f>J14*(1-$A$15)</f>
        <v>1799.6946939788816</v>
      </c>
      <c r="K15" s="74">
        <f>K14*(1-$A$15)</f>
        <v>2060.1768207389828</v>
      </c>
      <c r="L15" s="74">
        <f t="shared" ref="L15:Q15" si="8">L14*(1-$A$15)</f>
        <v>2357.6592495956893</v>
      </c>
      <c r="M15" s="74">
        <f t="shared" si="8"/>
        <v>2697.3220228425262</v>
      </c>
      <c r="N15" s="74">
        <f t="shared" si="8"/>
        <v>3135.6368515544364</v>
      </c>
      <c r="O15" s="74">
        <f>O14*(1-$A$15)</f>
        <v>3641.3847308374102</v>
      </c>
      <c r="P15" s="74">
        <f t="shared" si="8"/>
        <v>3969.1093566127774</v>
      </c>
      <c r="Q15" s="74">
        <f t="shared" si="8"/>
        <v>4048.4915437450336</v>
      </c>
    </row>
    <row r="16" spans="1:28" ht="32.25" hidden="1" thickBot="1" x14ac:dyDescent="0.3">
      <c r="A16" s="13" t="s">
        <v>6</v>
      </c>
      <c r="B16" s="14"/>
      <c r="C16" s="15">
        <f t="shared" ref="C16:J16" si="9">C15/C14</f>
        <v>0.72297297297297292</v>
      </c>
      <c r="D16" s="15">
        <f t="shared" si="9"/>
        <v>0.72647914645974776</v>
      </c>
      <c r="E16" s="15">
        <f t="shared" si="9"/>
        <v>0.72510822510822515</v>
      </c>
      <c r="F16" s="15">
        <f t="shared" si="9"/>
        <v>0.72969966629588445</v>
      </c>
      <c r="G16" s="15">
        <f t="shared" si="9"/>
        <v>0.79006805638675348</v>
      </c>
      <c r="H16" s="15">
        <f t="shared" si="9"/>
        <v>0.69364974485262743</v>
      </c>
      <c r="I16" s="15">
        <f t="shared" si="9"/>
        <v>0.65415805217018397</v>
      </c>
      <c r="J16" s="15">
        <f t="shared" si="9"/>
        <v>0.75</v>
      </c>
    </row>
    <row r="17" spans="1:18" x14ac:dyDescent="0.25">
      <c r="A17" s="2" t="s">
        <v>36</v>
      </c>
      <c r="C17" s="84"/>
      <c r="D17" s="84"/>
      <c r="E17" s="84"/>
      <c r="F17" s="84"/>
      <c r="G17" s="74">
        <f>G15/G18</f>
        <v>11.543447972508591</v>
      </c>
      <c r="H17" s="74">
        <f t="shared" ref="H17:O17" si="10">H15/H18</f>
        <v>11.048197377555624</v>
      </c>
      <c r="I17" s="74">
        <f t="shared" si="10"/>
        <v>12.204756089479613</v>
      </c>
      <c r="J17" s="74">
        <f t="shared" si="10"/>
        <v>15.934567202286818</v>
      </c>
      <c r="K17" s="74">
        <f t="shared" si="10"/>
        <v>18.425137514605968</v>
      </c>
      <c r="L17" s="74">
        <f t="shared" si="10"/>
        <v>21.298650340159721</v>
      </c>
      <c r="M17" s="74">
        <f t="shared" si="10"/>
        <v>24.613232288320173</v>
      </c>
      <c r="N17" s="74">
        <f t="shared" si="10"/>
        <v>28.901901550678989</v>
      </c>
      <c r="O17" s="74">
        <f t="shared" si="10"/>
        <v>33.902523813113191</v>
      </c>
      <c r="P17" s="74">
        <f>P15/P18</f>
        <v>37.327021167973108</v>
      </c>
      <c r="Q17" s="74"/>
    </row>
    <row r="18" spans="1:18" ht="32.25" thickBot="1" x14ac:dyDescent="0.3">
      <c r="A18" s="2" t="s">
        <v>38</v>
      </c>
      <c r="C18" s="84"/>
      <c r="D18" s="84"/>
      <c r="E18" s="84"/>
      <c r="F18" s="84"/>
      <c r="G18" s="74">
        <f>C50</f>
        <v>116.4</v>
      </c>
      <c r="H18" s="74">
        <f>G18*0.99</f>
        <v>115.236</v>
      </c>
      <c r="I18" s="74">
        <f t="shared" ref="I18:P18" si="11">H18*0.99</f>
        <v>114.08364</v>
      </c>
      <c r="J18" s="74">
        <f t="shared" si="11"/>
        <v>112.9428036</v>
      </c>
      <c r="K18" s="74">
        <f t="shared" si="11"/>
        <v>111.813375564</v>
      </c>
      <c r="L18" s="74">
        <f t="shared" si="11"/>
        <v>110.69524180836</v>
      </c>
      <c r="M18" s="74">
        <f t="shared" si="11"/>
        <v>109.5882893902764</v>
      </c>
      <c r="N18" s="74">
        <f t="shared" si="11"/>
        <v>108.49240649637363</v>
      </c>
      <c r="O18" s="74">
        <f t="shared" si="11"/>
        <v>107.40748243140989</v>
      </c>
      <c r="P18" s="74">
        <f t="shared" si="11"/>
        <v>106.33340760709579</v>
      </c>
      <c r="Q18" s="74"/>
    </row>
    <row r="19" spans="1:18" ht="16.5" thickBot="1" x14ac:dyDescent="0.3">
      <c r="A19" s="2"/>
      <c r="E19" s="51" t="s">
        <v>12</v>
      </c>
      <c r="F19" s="52"/>
      <c r="G19" s="53">
        <f>G15/(1+$C$55)</f>
        <v>1229.6109302219172</v>
      </c>
      <c r="H19" s="53">
        <f>H15/(1+$C$55)^2</f>
        <v>1066.1982588283743</v>
      </c>
      <c r="I19" s="53">
        <f>I15/(1+$C$55)^3</f>
        <v>1067.0629198304941</v>
      </c>
      <c r="J19" s="53">
        <f>J15/(1+$C$55)^4</f>
        <v>1262.1633801290527</v>
      </c>
      <c r="K19" s="53">
        <f>K15/(1+$C$55)^5</f>
        <v>1322.2099492014061</v>
      </c>
      <c r="L19" s="53">
        <f>L15/(1+$C$55)^6</f>
        <v>1384.7014472856888</v>
      </c>
      <c r="M19" s="53">
        <f>M15/(1+$C$55)^7</f>
        <v>1449.7298867618861</v>
      </c>
      <c r="N19" s="53">
        <f>N15/(1+$C$55)^8</f>
        <v>1542.2658369807295</v>
      </c>
      <c r="O19" s="53">
        <f>O15/(1+$C$55)^9</f>
        <v>1639.0010444588975</v>
      </c>
      <c r="P19" s="53">
        <f>P15/(1+$C$55)^10</f>
        <v>1634.8763564037504</v>
      </c>
      <c r="Q19" s="54">
        <f>(Q15/(C55-Q12))/(1+C55)^10</f>
        <v>22921.977780506193</v>
      </c>
    </row>
    <row r="20" spans="1:18" x14ac:dyDescent="0.25">
      <c r="A20" s="2"/>
      <c r="C20" s="77"/>
      <c r="D20" s="42"/>
      <c r="G20" s="6"/>
      <c r="H20" s="7"/>
      <c r="I20" s="6"/>
      <c r="J20" s="6"/>
      <c r="K20" s="6"/>
      <c r="L20" s="6"/>
      <c r="M20" s="6"/>
      <c r="N20" s="6"/>
      <c r="O20" s="6"/>
      <c r="P20" s="3"/>
      <c r="Q20" s="3"/>
      <c r="R20" s="3"/>
    </row>
    <row r="21" spans="1:18" x14ac:dyDescent="0.25">
      <c r="A21" s="2"/>
      <c r="J21" s="103"/>
      <c r="K21" s="103"/>
      <c r="L21" s="103"/>
      <c r="M21" s="103"/>
      <c r="N21" s="103"/>
      <c r="O21" s="103"/>
      <c r="P21" s="103"/>
      <c r="Q21" s="103"/>
      <c r="R21" s="3"/>
    </row>
    <row r="22" spans="1:18" ht="16.5" thickBot="1" x14ac:dyDescent="0.3">
      <c r="P22" s="3"/>
      <c r="Q22" s="3"/>
      <c r="R22" s="3"/>
    </row>
    <row r="23" spans="1:18" x14ac:dyDescent="0.25">
      <c r="A23" s="32" t="s">
        <v>24</v>
      </c>
      <c r="B23" s="33"/>
      <c r="C23" s="33"/>
      <c r="D23" s="34"/>
      <c r="E23" s="23"/>
      <c r="F23" s="33"/>
      <c r="G23" s="59" t="s">
        <v>25</v>
      </c>
      <c r="H23" s="23"/>
      <c r="I23" s="80">
        <v>3.7499999999999999E-2</v>
      </c>
      <c r="J23" s="24" t="s">
        <v>26</v>
      </c>
    </row>
    <row r="24" spans="1:18" x14ac:dyDescent="0.25">
      <c r="A24" s="35"/>
      <c r="B24" s="36"/>
      <c r="C24" s="36"/>
      <c r="D24" s="37"/>
      <c r="E24" s="36"/>
      <c r="F24" s="36"/>
      <c r="G24" s="25"/>
      <c r="I24" s="81"/>
      <c r="J24" s="26"/>
    </row>
    <row r="25" spans="1:18" x14ac:dyDescent="0.25">
      <c r="A25" s="35"/>
      <c r="B25" s="36"/>
      <c r="C25" s="36"/>
      <c r="D25" s="38"/>
      <c r="F25" s="36"/>
      <c r="G25" s="25" t="s">
        <v>27</v>
      </c>
      <c r="I25" s="82">
        <f>(I27-I23)*I29</f>
        <v>5.5250000000000014E-2</v>
      </c>
      <c r="J25" s="26"/>
    </row>
    <row r="26" spans="1:18" x14ac:dyDescent="0.25">
      <c r="A26" s="35"/>
      <c r="B26" s="36"/>
      <c r="C26" s="36"/>
      <c r="D26" s="38"/>
      <c r="F26" s="36"/>
      <c r="G26" s="25"/>
      <c r="I26" s="81"/>
      <c r="J26" s="26"/>
    </row>
    <row r="27" spans="1:18" x14ac:dyDescent="0.25">
      <c r="A27" s="35"/>
      <c r="B27" s="36"/>
      <c r="C27" s="36"/>
      <c r="D27" s="38"/>
      <c r="F27" s="36"/>
      <c r="G27" s="25" t="s">
        <v>28</v>
      </c>
      <c r="I27" s="83">
        <v>7.0000000000000007E-2</v>
      </c>
      <c r="J27" s="26" t="s">
        <v>29</v>
      </c>
    </row>
    <row r="28" spans="1:18" x14ac:dyDescent="0.25">
      <c r="A28" s="35"/>
      <c r="B28" s="36"/>
      <c r="C28" s="36"/>
      <c r="D28" s="39"/>
      <c r="F28" s="36"/>
      <c r="G28" s="25"/>
      <c r="I28" s="81"/>
      <c r="J28" s="26"/>
    </row>
    <row r="29" spans="1:18" x14ac:dyDescent="0.25">
      <c r="A29" s="35"/>
      <c r="B29" s="36"/>
      <c r="C29" s="36"/>
      <c r="D29" s="39"/>
      <c r="F29" s="36"/>
      <c r="G29" s="25" t="s">
        <v>35</v>
      </c>
      <c r="I29" s="81">
        <v>1.7</v>
      </c>
      <c r="J29" s="26" t="s">
        <v>30</v>
      </c>
    </row>
    <row r="30" spans="1:18" x14ac:dyDescent="0.25">
      <c r="A30" s="35"/>
      <c r="B30" s="36"/>
      <c r="C30" s="36"/>
      <c r="D30" s="40"/>
      <c r="F30" s="36"/>
      <c r="G30" s="25"/>
      <c r="I30" s="81"/>
      <c r="J30" s="26"/>
    </row>
    <row r="31" spans="1:18" x14ac:dyDescent="0.25">
      <c r="A31" s="35"/>
      <c r="B31" s="36"/>
      <c r="C31" s="36"/>
      <c r="D31" s="37"/>
      <c r="F31" s="36"/>
      <c r="G31" s="25" t="s">
        <v>31</v>
      </c>
      <c r="I31" s="83">
        <f>I23+(I27-I23)*I29</f>
        <v>9.2750000000000013E-2</v>
      </c>
      <c r="J31" s="26" t="s">
        <v>32</v>
      </c>
    </row>
    <row r="32" spans="1:18" x14ac:dyDescent="0.25">
      <c r="A32" s="25"/>
      <c r="C32" s="41"/>
      <c r="E32" s="36"/>
      <c r="F32" s="36"/>
      <c r="G32" s="25"/>
      <c r="J32" s="26"/>
    </row>
    <row r="33" spans="1:10" x14ac:dyDescent="0.25">
      <c r="A33" s="25"/>
      <c r="G33" s="78" t="s">
        <v>34</v>
      </c>
      <c r="H33" s="22"/>
      <c r="I33" s="79">
        <f>I31</f>
        <v>9.2750000000000013E-2</v>
      </c>
      <c r="J33" s="26"/>
    </row>
    <row r="34" spans="1:10" x14ac:dyDescent="0.25">
      <c r="A34" s="35" t="s">
        <v>7</v>
      </c>
      <c r="B34" s="36"/>
      <c r="C34" s="42"/>
      <c r="D34" s="27"/>
      <c r="G34" s="25"/>
      <c r="J34" s="26"/>
    </row>
    <row r="35" spans="1:10" ht="15.75" hidden="1" customHeight="1" x14ac:dyDescent="0.25">
      <c r="A35" s="25"/>
      <c r="G35" s="25"/>
      <c r="J35" s="26"/>
    </row>
    <row r="36" spans="1:10" ht="15.75" hidden="1" customHeight="1" x14ac:dyDescent="0.25">
      <c r="A36" s="25"/>
      <c r="B36" s="1" t="s">
        <v>8</v>
      </c>
      <c r="D36" s="43">
        <v>0.08</v>
      </c>
      <c r="G36" s="25"/>
      <c r="J36" s="26"/>
    </row>
    <row r="37" spans="1:10" ht="15.75" hidden="1" customHeight="1" x14ac:dyDescent="0.25">
      <c r="A37" s="25"/>
      <c r="G37" s="25"/>
      <c r="J37" s="26"/>
    </row>
    <row r="38" spans="1:10" ht="15.75" hidden="1" customHeight="1" x14ac:dyDescent="0.25">
      <c r="A38" s="25"/>
      <c r="G38" s="25"/>
      <c r="J38" s="26"/>
    </row>
    <row r="39" spans="1:10" ht="15.75" hidden="1" customHeight="1" x14ac:dyDescent="0.25">
      <c r="A39" s="25"/>
      <c r="G39" s="25"/>
      <c r="J39" s="26"/>
    </row>
    <row r="40" spans="1:10" hidden="1" x14ac:dyDescent="0.25">
      <c r="A40" s="25"/>
      <c r="B40" s="41"/>
      <c r="C40" s="41">
        <v>0.12</v>
      </c>
      <c r="D40" s="41" t="e">
        <f>((NPV(C40,$G$15:$Q$15)+(#REF!*(1+#REF!)/(C40-#REF!))/(1+C40)^(2040-2020))/$D$50)/$C$51-1</f>
        <v>#REF!</v>
      </c>
      <c r="G40" s="25"/>
      <c r="J40" s="26"/>
    </row>
    <row r="41" spans="1:10" hidden="1" x14ac:dyDescent="0.25">
      <c r="A41" s="25"/>
      <c r="B41" s="41"/>
      <c r="C41" s="41">
        <v>0.14000000000000001</v>
      </c>
      <c r="D41" s="41" t="e">
        <f>((NPV(C41,$G$15:$Q$15)+(#REF!*(1+#REF!)/(C41-#REF!))/(1+C41)^(2040-2020))/$D$50)/$C$51-1</f>
        <v>#REF!</v>
      </c>
      <c r="G41" s="25"/>
      <c r="J41" s="26"/>
    </row>
    <row r="42" spans="1:10" hidden="1" x14ac:dyDescent="0.25">
      <c r="A42" s="25"/>
      <c r="B42" s="41"/>
      <c r="C42" s="41">
        <v>0.16</v>
      </c>
      <c r="D42" s="41" t="e">
        <f>((NPV(C42,$G$15:$Q$15)+(#REF!*(1+#REF!)/(C42-#REF!))/(1+C42)^(2040-2020))/$D$50)/$C$51-1</f>
        <v>#REF!</v>
      </c>
      <c r="G42" s="25"/>
      <c r="J42" s="26"/>
    </row>
    <row r="43" spans="1:10" hidden="1" x14ac:dyDescent="0.25">
      <c r="A43" s="25"/>
      <c r="B43" s="41"/>
      <c r="C43" s="41">
        <v>0.18</v>
      </c>
      <c r="D43" s="41" t="e">
        <f>((NPV(C43,$G$15:$Q$15)+(#REF!*(1+#REF!)/(C43-#REF!))/(1+C43)^(2040-2020))/$D$50)/$C$51-1</f>
        <v>#REF!</v>
      </c>
      <c r="G43" s="25"/>
      <c r="J43" s="26"/>
    </row>
    <row r="44" spans="1:10" hidden="1" x14ac:dyDescent="0.25">
      <c r="A44" s="25"/>
      <c r="B44" s="41"/>
      <c r="C44" s="41">
        <v>0.2</v>
      </c>
      <c r="D44" s="41" t="e">
        <f>((NPV(C44,$G$15:$Q$15)+(#REF!*(1+#REF!)/(C44-#REF!))/(1+C44)^(2040-2020))/$D$50)/$C$51-1</f>
        <v>#REF!</v>
      </c>
      <c r="G44" s="25"/>
      <c r="J44" s="26"/>
    </row>
    <row r="45" spans="1:10" x14ac:dyDescent="0.25">
      <c r="A45" s="25"/>
      <c r="G45" s="25"/>
      <c r="J45" s="26"/>
    </row>
    <row r="46" spans="1:10" ht="16.5" thickBot="1" x14ac:dyDescent="0.3">
      <c r="A46" s="28"/>
      <c r="B46" s="29" t="s">
        <v>20</v>
      </c>
      <c r="C46" s="29"/>
      <c r="D46" s="44">
        <f>I33</f>
        <v>9.2750000000000013E-2</v>
      </c>
      <c r="E46" s="29"/>
      <c r="F46" s="29"/>
      <c r="G46" s="28"/>
      <c r="H46" s="29"/>
      <c r="I46" s="29"/>
      <c r="J46" s="30"/>
    </row>
    <row r="48" spans="1:10" x14ac:dyDescent="0.25">
      <c r="A48" s="16"/>
      <c r="B48" s="17"/>
      <c r="C48" s="85">
        <v>44575</v>
      </c>
      <c r="D48" s="18" t="s">
        <v>3</v>
      </c>
      <c r="E48" s="19"/>
      <c r="F48" s="20"/>
      <c r="G48" s="21"/>
      <c r="H48" s="21"/>
      <c r="I48" s="21"/>
    </row>
    <row r="49" spans="1:17" x14ac:dyDescent="0.25">
      <c r="A49" s="45" t="s">
        <v>0</v>
      </c>
      <c r="B49" s="46" t="s">
        <v>5</v>
      </c>
      <c r="C49" s="56">
        <f>C50*C51</f>
        <v>36706.740000000005</v>
      </c>
      <c r="D49" s="47">
        <f>SUM(G19:Q19)</f>
        <v>36519.797790608391</v>
      </c>
      <c r="E49" s="46" t="s">
        <v>47</v>
      </c>
    </row>
    <row r="50" spans="1:17" x14ac:dyDescent="0.25">
      <c r="A50" s="45"/>
      <c r="B50" s="46" t="s">
        <v>11</v>
      </c>
      <c r="C50" s="56">
        <v>116.4</v>
      </c>
      <c r="D50" s="56">
        <f>C50</f>
        <v>116.4</v>
      </c>
      <c r="E50" s="46"/>
    </row>
    <row r="51" spans="1:17" x14ac:dyDescent="0.25">
      <c r="A51" s="45"/>
      <c r="B51" s="46" t="s">
        <v>13</v>
      </c>
      <c r="C51" s="89">
        <v>315.35000000000002</v>
      </c>
      <c r="D51" s="56">
        <f>D49/(D50)</f>
        <v>313.74396727326797</v>
      </c>
      <c r="E51" s="46" t="s">
        <v>47</v>
      </c>
    </row>
    <row r="52" spans="1:17" x14ac:dyDescent="0.25">
      <c r="A52" s="45"/>
      <c r="B52" s="46" t="s">
        <v>2</v>
      </c>
      <c r="C52" s="46"/>
      <c r="D52" s="57">
        <f>IF(C51/D51-1&gt;0,0,C51/D51-1)*-1</f>
        <v>0</v>
      </c>
      <c r="E52" s="46"/>
    </row>
    <row r="53" spans="1:17" x14ac:dyDescent="0.25">
      <c r="A53" s="45"/>
      <c r="B53" s="46" t="s">
        <v>14</v>
      </c>
      <c r="C53" s="46"/>
      <c r="D53" s="58">
        <f>IF(C51/D51-1&lt;0,0,C51/D51-1)</f>
        <v>5.1189278337047117E-3</v>
      </c>
      <c r="E53" s="46"/>
    </row>
    <row r="54" spans="1:17" x14ac:dyDescent="0.25">
      <c r="A54" s="46"/>
      <c r="B54" s="46"/>
      <c r="C54" s="46"/>
      <c r="D54" s="48"/>
      <c r="E54" s="48"/>
    </row>
    <row r="55" spans="1:17" x14ac:dyDescent="0.25">
      <c r="A55" s="48" t="s">
        <v>19</v>
      </c>
      <c r="B55" s="46"/>
      <c r="C55" s="50">
        <f>D46</f>
        <v>9.2750000000000013E-2</v>
      </c>
      <c r="D55" s="49"/>
      <c r="E55" s="46"/>
      <c r="J55" s="72"/>
    </row>
    <row r="56" spans="1:17" x14ac:dyDescent="0.25">
      <c r="A56" s="48"/>
      <c r="B56" s="46"/>
      <c r="C56" s="50"/>
      <c r="D56" s="49"/>
      <c r="E56" s="46"/>
    </row>
    <row r="57" spans="1:17" hidden="1" x14ac:dyDescent="0.25">
      <c r="A57" s="48" t="s">
        <v>22</v>
      </c>
      <c r="B57" s="75">
        <v>0.108</v>
      </c>
      <c r="C57" s="50"/>
      <c r="D57" s="76">
        <f>SUM(H57:Q57)*1000</f>
        <v>27615551.238311935</v>
      </c>
      <c r="E57" s="46"/>
      <c r="F57" s="1" t="s">
        <v>23</v>
      </c>
      <c r="H57" s="1">
        <f>G15/(1+$B$57)</f>
        <v>1212.6871335740072</v>
      </c>
      <c r="I57" s="1">
        <f>H15/(1+$B$57)^2</f>
        <v>1037.0509137679362</v>
      </c>
      <c r="J57" s="1">
        <f>I15/(1+$B$57)^3</f>
        <v>1023.6068719610622</v>
      </c>
      <c r="K57" s="1">
        <f>J15/(1+$B$57)^4</f>
        <v>1194.0975153219474</v>
      </c>
      <c r="L57" s="1">
        <f>K15/(1+$B$57)^5</f>
        <v>1233.6890061871723</v>
      </c>
      <c r="M57" s="1">
        <f>L15/(1+$B$57)^6</f>
        <v>1274.214300162977</v>
      </c>
      <c r="N57" s="1">
        <f>M15/(1+$B$57)^7</f>
        <v>1315.6927317659081</v>
      </c>
      <c r="O57" s="1">
        <f>N15/(1+$B$57)^8</f>
        <v>1380.4086648717216</v>
      </c>
      <c r="P57" s="1">
        <f>O15/(1+$B$57)^9</f>
        <v>1446.8007434314072</v>
      </c>
      <c r="Q57" s="1">
        <f>(Q15/(B57-Q12))/(1+B57)^10</f>
        <v>16497.303357267792</v>
      </c>
    </row>
    <row r="58" spans="1:17" ht="16.5" thickBot="1" x14ac:dyDescent="0.3">
      <c r="A58" s="22"/>
      <c r="C58" s="67"/>
      <c r="D58" s="68"/>
    </row>
    <row r="59" spans="1:17" x14ac:dyDescent="0.25">
      <c r="A59" s="59" t="s">
        <v>42</v>
      </c>
      <c r="B59" s="23"/>
      <c r="C59" s="69">
        <v>22</v>
      </c>
      <c r="D59" s="23"/>
      <c r="E59" s="24"/>
    </row>
    <row r="60" spans="1:17" x14ac:dyDescent="0.25">
      <c r="A60" s="25" t="s">
        <v>21</v>
      </c>
      <c r="C60" s="70" t="s">
        <v>40</v>
      </c>
      <c r="E60" s="26"/>
    </row>
    <row r="61" spans="1:17" x14ac:dyDescent="0.25">
      <c r="A61" s="25"/>
      <c r="C61" s="70"/>
      <c r="E61" s="26"/>
    </row>
    <row r="62" spans="1:17" x14ac:dyDescent="0.25">
      <c r="A62" s="25" t="s">
        <v>37</v>
      </c>
      <c r="C62" s="70"/>
      <c r="E62" s="60">
        <f>P17*C59</f>
        <v>821.19446569540833</v>
      </c>
    </row>
    <row r="63" spans="1:17" x14ac:dyDescent="0.25">
      <c r="A63" s="25"/>
      <c r="C63" s="70"/>
      <c r="E63" s="26"/>
    </row>
    <row r="64" spans="1:17" x14ac:dyDescent="0.25">
      <c r="A64" s="25" t="s">
        <v>17</v>
      </c>
      <c r="C64" s="71">
        <v>0.15</v>
      </c>
      <c r="E64" s="26"/>
    </row>
    <row r="65" spans="1:5" x14ac:dyDescent="0.25">
      <c r="A65" s="25"/>
      <c r="E65" s="26"/>
    </row>
    <row r="66" spans="1:5" x14ac:dyDescent="0.25">
      <c r="A66" s="25" t="s">
        <v>18</v>
      </c>
      <c r="E66" s="60">
        <f>SUM(G17:Q17)*C64</f>
        <v>32.279915297502264</v>
      </c>
    </row>
    <row r="67" spans="1:5" x14ac:dyDescent="0.25">
      <c r="A67" s="25"/>
      <c r="E67" s="61"/>
    </row>
    <row r="68" spans="1:5" x14ac:dyDescent="0.25">
      <c r="A68" s="62" t="s">
        <v>41</v>
      </c>
      <c r="E68" s="63">
        <f>(E66*0.25)*-1</f>
        <v>-8.0699788243755659</v>
      </c>
    </row>
    <row r="69" spans="1:5" x14ac:dyDescent="0.25">
      <c r="A69" s="25"/>
      <c r="C69" s="41"/>
      <c r="D69" s="41"/>
      <c r="E69" s="64"/>
    </row>
    <row r="70" spans="1:5" x14ac:dyDescent="0.25">
      <c r="A70" s="25" t="s">
        <v>43</v>
      </c>
      <c r="E70" s="60">
        <f>SUM(E62:E68)</f>
        <v>845.40440216853506</v>
      </c>
    </row>
    <row r="71" spans="1:5" x14ac:dyDescent="0.25">
      <c r="A71" s="25"/>
      <c r="E71" s="60"/>
    </row>
    <row r="72" spans="1:5" x14ac:dyDescent="0.25">
      <c r="A72" s="25" t="s">
        <v>44</v>
      </c>
      <c r="E72" s="64">
        <f>E70/C51-1</f>
        <v>1.6808447825227049</v>
      </c>
    </row>
    <row r="73" spans="1:5" x14ac:dyDescent="0.25">
      <c r="A73" s="25"/>
      <c r="E73" s="26"/>
    </row>
    <row r="74" spans="1:5" ht="16.5" thickBot="1" x14ac:dyDescent="0.3">
      <c r="A74" s="65" t="s">
        <v>45</v>
      </c>
      <c r="B74" s="66"/>
      <c r="C74" s="66"/>
      <c r="D74" s="66"/>
      <c r="E74" s="104">
        <f>(E70/C51)^(1/10)-1</f>
        <v>0.10363932512508955</v>
      </c>
    </row>
  </sheetData>
  <conditionalFormatting sqref="L6:L8">
    <cfRule type="top10" dxfId="3" priority="6" percent="1" rank="10"/>
  </conditionalFormatting>
  <conditionalFormatting sqref="G6:J8">
    <cfRule type="top10" dxfId="2" priority="5" percent="1" rank="10"/>
  </conditionalFormatting>
  <conditionalFormatting sqref="L9">
    <cfRule type="top10" dxfId="1" priority="4" percent="1" rank="10"/>
  </conditionalFormatting>
  <conditionalFormatting sqref="L2:L5">
    <cfRule type="top10" dxfId="0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Pessimistisch</vt:lpstr>
      <vt:lpstr>Optimistisch</vt:lpstr>
      <vt:lpstr>Wachstum für faire Bewertung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Jakob</dc:creator>
  <cp:lastModifiedBy>Robert Hahn</cp:lastModifiedBy>
  <cp:lastPrinted>2021-08-03T18:16:56Z</cp:lastPrinted>
  <dcterms:created xsi:type="dcterms:W3CDTF">2020-02-09T06:30:31Z</dcterms:created>
  <dcterms:modified xsi:type="dcterms:W3CDTF">2023-01-14T08:52:00Z</dcterms:modified>
</cp:coreProperties>
</file>