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71AF709E-367B-4F1B-9BCB-87CA9D6A9EC2}" xr6:coauthVersionLast="44" xr6:coauthVersionMax="44" xr10:uidLastSave="{00000000-0000-0000-0000-000000000000}"/>
  <bookViews>
    <workbookView xWindow="-28920" yWindow="-120" windowWidth="29040" windowHeight="15840" activeTab="1" xr2:uid="{00000000-000D-0000-FFFF-FFFF00000000}"/>
  </bookViews>
  <sheets>
    <sheet name="Pessimistisch" sheetId="34" r:id="rId1"/>
    <sheet name="Optimistisch" sheetId="3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32" l="1"/>
  <c r="E14" i="32"/>
  <c r="D14" i="32"/>
  <c r="C14" i="32"/>
  <c r="C14" i="34"/>
  <c r="D14" i="34"/>
  <c r="E14" i="34"/>
  <c r="F14" i="34"/>
  <c r="G11" i="34"/>
  <c r="H11" i="34" s="1"/>
  <c r="I11" i="34" s="1"/>
  <c r="J11" i="34" s="1"/>
  <c r="K11" i="34" s="1"/>
  <c r="K14" i="34" s="1"/>
  <c r="K15" i="34" s="1"/>
  <c r="H14" i="34" l="1"/>
  <c r="H15" i="34" s="1"/>
  <c r="J14" i="34"/>
  <c r="J15" i="34" s="1"/>
  <c r="I14" i="34"/>
  <c r="I15" i="34" s="1"/>
  <c r="G14" i="34"/>
  <c r="G15" i="34" s="1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I25" i="32" l="1"/>
  <c r="E12" i="34" l="1"/>
  <c r="F12" i="34"/>
  <c r="D12" i="34"/>
  <c r="D12" i="32" l="1"/>
  <c r="E12" i="32"/>
  <c r="F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31" i="32"/>
  <c r="I33" i="32" s="1"/>
  <c r="D46" i="32" s="1"/>
  <c r="C55" i="32" s="1"/>
  <c r="C16" i="32"/>
  <c r="H19" i="34" l="1"/>
  <c r="G19" i="34"/>
  <c r="H57" i="34"/>
  <c r="I57" i="34"/>
  <c r="F16" i="32" l="1"/>
  <c r="E16" i="32"/>
  <c r="D16" i="32"/>
  <c r="J57" i="34" l="1"/>
  <c r="I16" i="34"/>
  <c r="I19" i="34"/>
  <c r="I17" i="34"/>
  <c r="J19" i="34" l="1"/>
  <c r="J17" i="34"/>
  <c r="K57" i="34"/>
  <c r="J16" i="34"/>
  <c r="K19" i="34" l="1"/>
  <c r="L57" i="34"/>
  <c r="K17" i="34"/>
  <c r="L11" i="34"/>
  <c r="L14" i="34" l="1"/>
  <c r="L15" i="34" s="1"/>
  <c r="M11" i="34"/>
  <c r="M14" i="34" l="1"/>
  <c r="M15" i="34" s="1"/>
  <c r="N11" i="34"/>
  <c r="L19" i="34"/>
  <c r="M57" i="34"/>
  <c r="L17" i="34"/>
  <c r="O11" i="34" l="1"/>
  <c r="N14" i="34"/>
  <c r="N15" i="34" s="1"/>
  <c r="M17" i="34"/>
  <c r="N57" i="34"/>
  <c r="M19" i="34"/>
  <c r="N17" i="34" l="1"/>
  <c r="O57" i="34"/>
  <c r="N19" i="34"/>
  <c r="O14" i="34"/>
  <c r="O15" i="34" s="1"/>
  <c r="P11" i="34"/>
  <c r="Q11" i="34" l="1"/>
  <c r="Q14" i="34" s="1"/>
  <c r="Q15" i="34" s="1"/>
  <c r="P14" i="34"/>
  <c r="P15" i="34" s="1"/>
  <c r="O19" i="34"/>
  <c r="P57" i="34"/>
  <c r="O17" i="34"/>
  <c r="P17" i="34" l="1"/>
  <c r="P19" i="34"/>
  <c r="D41" i="34"/>
  <c r="D40" i="34"/>
  <c r="D43" i="34"/>
  <c r="D44" i="34"/>
  <c r="D42" i="34"/>
  <c r="Q57" i="34"/>
  <c r="D57" i="34" s="1"/>
  <c r="Q19" i="34"/>
  <c r="D49" i="34" l="1"/>
  <c r="D51" i="34" s="1"/>
  <c r="E62" i="34"/>
  <c r="E66" i="34"/>
  <c r="E68" i="34" s="1"/>
  <c r="E70" i="34" l="1"/>
  <c r="E74" i="34" s="1"/>
  <c r="D52" i="34"/>
  <c r="D53" i="34"/>
  <c r="E72" i="34" l="1"/>
  <c r="G11" i="32"/>
  <c r="G14" i="32" l="1"/>
  <c r="H11" i="32"/>
  <c r="H14" i="32" s="1"/>
  <c r="H15" i="32" l="1"/>
  <c r="G15" i="32"/>
  <c r="G19" i="32" s="1"/>
  <c r="I11" i="32"/>
  <c r="G16" i="32" l="1"/>
  <c r="I57" i="32"/>
  <c r="H19" i="32"/>
  <c r="H17" i="32"/>
  <c r="H16" i="32"/>
  <c r="H57" i="32"/>
  <c r="G17" i="32"/>
  <c r="I14" i="32"/>
  <c r="J11" i="32"/>
  <c r="I15" i="32" l="1"/>
  <c r="J14" i="32"/>
  <c r="J15" i="32" s="1"/>
  <c r="K11" i="32"/>
  <c r="J57" i="32" l="1"/>
  <c r="I19" i="32"/>
  <c r="I17" i="32"/>
  <c r="I16" i="32"/>
  <c r="L11" i="32"/>
  <c r="K14" i="32"/>
  <c r="K15" i="32" s="1"/>
  <c r="J16" i="32"/>
  <c r="K57" i="32"/>
  <c r="J19" i="32"/>
  <c r="J17" i="32"/>
  <c r="K19" i="32" l="1"/>
  <c r="K17" i="32"/>
  <c r="L57" i="32"/>
  <c r="M11" i="32"/>
  <c r="L14" i="32"/>
  <c r="L15" i="32" s="1"/>
  <c r="L19" i="32" l="1"/>
  <c r="L17" i="32"/>
  <c r="M57" i="32"/>
  <c r="M14" i="32"/>
  <c r="M15" i="32" s="1"/>
  <c r="N11" i="32"/>
  <c r="M19" i="32" l="1"/>
  <c r="M17" i="32"/>
  <c r="N57" i="32"/>
  <c r="N14" i="32"/>
  <c r="N15" i="32" s="1"/>
  <c r="O11" i="32"/>
  <c r="N17" i="32" l="1"/>
  <c r="N19" i="32"/>
  <c r="O57" i="32"/>
  <c r="P11" i="32"/>
  <c r="O14" i="32"/>
  <c r="O15" i="32" s="1"/>
  <c r="Q11" i="32" l="1"/>
  <c r="Q14" i="32" s="1"/>
  <c r="Q15" i="32" s="1"/>
  <c r="P14" i="32"/>
  <c r="P15" i="32" s="1"/>
  <c r="O17" i="32"/>
  <c r="P57" i="32"/>
  <c r="O19" i="32"/>
  <c r="D41" i="32" l="1"/>
  <c r="P19" i="32"/>
  <c r="P17" i="32"/>
  <c r="E62" i="32" s="1"/>
  <c r="D43" i="32"/>
  <c r="D42" i="32"/>
  <c r="D40" i="32"/>
  <c r="D44" i="32"/>
  <c r="Q57" i="32"/>
  <c r="D57" i="32" s="1"/>
  <c r="Q19" i="32"/>
  <c r="D49" i="32" l="1"/>
  <c r="D51" i="32" s="1"/>
  <c r="D53" i="32" s="1"/>
  <c r="E66" i="32"/>
  <c r="E68" i="32" s="1"/>
  <c r="D52" i="32" l="1"/>
  <c r="E70" i="32"/>
  <c r="E74" i="32" l="1"/>
  <c r="E72" i="32"/>
</calcChain>
</file>

<file path=xl/sharedStrings.xml><?xml version="1.0" encoding="utf-8"?>
<sst xmlns="http://schemas.openxmlformats.org/spreadsheetml/2006/main" count="99" uniqueCount="49">
  <si>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</si>
  <si>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</si>
  <si>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</si>
  <si>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</si>
  <si>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</si>
  <si>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</si>
  <si>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</si>
  <si>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</si>
  <si>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</si>
  <si>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</si>
  <si>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</si>
  <si>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</si>
  <si>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</si>
  <si>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</si>
  <si>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</si>
  <si>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</si>
  <si>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</si>
  <si>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</si>
  <si>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</si>
  <si>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</si>
  <si>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</si>
  <si>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</si>
  <si>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</si>
  <si>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</si>
  <si>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</si>
  <si>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</si>
  <si>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</si>
  <si>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</si>
  <si>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</si>
  <si>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</si>
  <si>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</si>
  <si>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</si>
  <si>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</si>
  <si>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</si>
  <si>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</si>
  <si>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</si>
  <si>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</si>
  <si>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</si>
  <si>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</si>
  <si>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</si>
  <si>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</si>
  <si>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KGV Multiple in 2031</t>
  </si>
  <si>
    <t>Gesamtwert 2031</t>
  </si>
  <si>
    <t>Steigerung Gesamt bis 2031 in Prozent</t>
  </si>
  <si>
    <t>Renditeerwartung bis 2031 pro Jahr</t>
  </si>
  <si>
    <t>2032ff.</t>
  </si>
  <si>
    <t>USD</t>
  </si>
  <si>
    <t>Quellensteuer USA (25 %)</t>
  </si>
  <si>
    <t xml:space="preserve"> Annahmen für B. Riley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</si>
</sst>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3" fillId="2" borderId="0" xfId="1" applyNumberFormat="1" applyFont="1" applyFill="1" applyBorder="1"/>
    <xf numFmtId="3" fontId="5" fillId="2" borderId="0" xfId="0" applyNumberFormat="1" applyFont="1" applyFill="1"/>
    <xf numFmtId="165" fontId="5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5" fillId="2" borderId="0" xfId="0" applyNumberFormat="1" applyFont="1" applyFill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10" fontId="5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9" fillId="5" borderId="0" xfId="0" applyNumberFormat="1" applyFon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Alignment="1">
      <alignment horizontal="right"/>
    </xf>
    <xf numFmtId="0" fontId="10" fillId="2" borderId="7" xfId="0" applyFont="1" applyFill="1" applyBorder="1"/>
    <xf numFmtId="0" fontId="10" fillId="2" borderId="0" xfId="0" applyFont="1" applyFill="1"/>
    <xf numFmtId="10" fontId="10" fillId="2" borderId="0" xfId="0" applyNumberFormat="1" applyFont="1" applyFill="1"/>
    <xf numFmtId="9" fontId="9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zoomScaleNormal="100" workbookViewId="0">
      <selection activeCell="B4" sqref="B4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45</v>
      </c>
    </row>
    <row r="11" spans="1:28" x14ac:dyDescent="0.25">
      <c r="A11" s="5"/>
      <c r="B11" s="4" t="s">
        <v>4</v>
      </c>
      <c r="C11" s="84">
        <v>422.9</v>
      </c>
      <c r="D11" s="84">
        <v>652.11</v>
      </c>
      <c r="E11" s="84">
        <v>924.75</v>
      </c>
      <c r="F11" s="84">
        <v>1730.53</v>
      </c>
      <c r="G11" s="74">
        <f t="shared" ref="G11" si="0">F11*(1+G12)</f>
        <v>865.26499999999999</v>
      </c>
      <c r="H11" s="74">
        <f t="shared" ref="H11" si="1">G11*(1+H12)</f>
        <v>969.09680000000003</v>
      </c>
      <c r="I11" s="74">
        <f t="shared" ref="I11" si="2">H11*(1+I12)</f>
        <v>1056.3155120000001</v>
      </c>
      <c r="J11" s="74">
        <f t="shared" ref="J11" si="3">I11*(1+J12)</f>
        <v>1130.2575978400002</v>
      </c>
      <c r="K11" s="74">
        <f t="shared" ref="K11" si="4">J11*(1+K12)</f>
        <v>1209.3756296888002</v>
      </c>
      <c r="L11" s="74">
        <f t="shared" ref="L11:Q11" si="5">K11*(1+L12)</f>
        <v>1281.9381674701283</v>
      </c>
      <c r="M11" s="74">
        <f t="shared" si="5"/>
        <v>1358.8544575183359</v>
      </c>
      <c r="N11" s="74">
        <f t="shared" si="5"/>
        <v>1426.7971803942528</v>
      </c>
      <c r="O11" s="74">
        <f t="shared" si="5"/>
        <v>1469.6010958060804</v>
      </c>
      <c r="P11" s="74">
        <f t="shared" si="5"/>
        <v>1498.993117722202</v>
      </c>
      <c r="Q11" s="74">
        <f t="shared" si="5"/>
        <v>1521.4780144880349</v>
      </c>
    </row>
    <row r="12" spans="1:28" x14ac:dyDescent="0.25">
      <c r="A12" s="5"/>
      <c r="B12" s="4" t="s">
        <v>1</v>
      </c>
      <c r="C12" s="88"/>
      <c r="D12" s="91">
        <f t="shared" ref="D12:I12" si="6">D11/C11-1</f>
        <v>0.54199574367462766</v>
      </c>
      <c r="E12" s="91">
        <f t="shared" si="6"/>
        <v>0.41808897271932643</v>
      </c>
      <c r="F12" s="91">
        <f t="shared" si="6"/>
        <v>0.87134901324682335</v>
      </c>
      <c r="G12" s="87">
        <v>-0.5</v>
      </c>
      <c r="H12" s="87">
        <v>0.12</v>
      </c>
      <c r="I12" s="87">
        <v>0.09</v>
      </c>
      <c r="J12" s="87">
        <v>7.0000000000000007E-2</v>
      </c>
      <c r="K12" s="87">
        <v>7.0000000000000007E-2</v>
      </c>
      <c r="L12" s="73">
        <v>0.06</v>
      </c>
      <c r="M12" s="73">
        <v>0.06</v>
      </c>
      <c r="N12" s="73">
        <v>0.05</v>
      </c>
      <c r="O12" s="73">
        <v>0.03</v>
      </c>
      <c r="P12" s="73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90">
        <v>4.87E-2</v>
      </c>
      <c r="D13" s="90">
        <v>0.18149999999999999</v>
      </c>
      <c r="E13" s="90">
        <v>0.38869999999999999</v>
      </c>
      <c r="F13" s="90">
        <v>0.40400000000000003</v>
      </c>
      <c r="G13" s="86">
        <v>0.05</v>
      </c>
      <c r="H13" s="86">
        <v>0.08</v>
      </c>
      <c r="I13" s="86">
        <v>0.09</v>
      </c>
      <c r="J13" s="86">
        <v>0.1</v>
      </c>
      <c r="K13" s="86">
        <v>0.1</v>
      </c>
      <c r="L13" s="86">
        <v>0.11</v>
      </c>
      <c r="M13" s="86">
        <v>0.12</v>
      </c>
      <c r="N13" s="86">
        <v>0.13</v>
      </c>
      <c r="O13" s="86">
        <v>0.14000000000000001</v>
      </c>
      <c r="P13" s="86">
        <v>0.15</v>
      </c>
      <c r="Q13" s="86">
        <v>0.15</v>
      </c>
    </row>
    <row r="14" spans="1:28" ht="17.100000000000001" customHeight="1" x14ac:dyDescent="0.25">
      <c r="A14" s="5"/>
      <c r="B14" s="4" t="s">
        <v>16</v>
      </c>
      <c r="C14" s="84">
        <f t="shared" ref="C14:E14" si="7">C11*C13</f>
        <v>20.595229999999997</v>
      </c>
      <c r="D14" s="84">
        <f t="shared" si="7"/>
        <v>118.35796499999999</v>
      </c>
      <c r="E14" s="84">
        <f t="shared" si="7"/>
        <v>359.45032499999996</v>
      </c>
      <c r="F14" s="84">
        <f>F11*F13</f>
        <v>699.13412000000005</v>
      </c>
      <c r="G14" s="74">
        <f t="shared" ref="G14:K14" si="8">G11*G13</f>
        <v>43.263249999999999</v>
      </c>
      <c r="H14" s="74">
        <f t="shared" si="8"/>
        <v>77.527743999999998</v>
      </c>
      <c r="I14" s="74">
        <f t="shared" si="8"/>
        <v>95.068396080000014</v>
      </c>
      <c r="J14" s="74">
        <f t="shared" si="8"/>
        <v>113.02575978400003</v>
      </c>
      <c r="K14" s="74">
        <f t="shared" si="8"/>
        <v>120.93756296888003</v>
      </c>
      <c r="L14" s="74">
        <f t="shared" ref="L14:Q14" si="9">L11*L13</f>
        <v>141.01319842171412</v>
      </c>
      <c r="M14" s="74">
        <f t="shared" si="9"/>
        <v>163.0625349022003</v>
      </c>
      <c r="N14" s="74">
        <f t="shared" si="9"/>
        <v>185.48363345125287</v>
      </c>
      <c r="O14" s="74">
        <f t="shared" si="9"/>
        <v>205.74415341285126</v>
      </c>
      <c r="P14" s="74">
        <f t="shared" si="9"/>
        <v>224.84896765833028</v>
      </c>
      <c r="Q14" s="74">
        <f t="shared" si="9"/>
        <v>228.22170217320522</v>
      </c>
    </row>
    <row r="15" spans="1:28" x14ac:dyDescent="0.25">
      <c r="A15" s="102">
        <v>0.45</v>
      </c>
      <c r="B15" s="4" t="s">
        <v>39</v>
      </c>
      <c r="C15" s="84">
        <v>15.520430000000001</v>
      </c>
      <c r="D15" s="84">
        <v>81.578960999999993</v>
      </c>
      <c r="E15" s="84">
        <v>205.10954999999998</v>
      </c>
      <c r="F15" s="84">
        <v>445.09231599999998</v>
      </c>
      <c r="G15" s="74">
        <f t="shared" ref="G15:K15" si="10">G14*(1-$A$15)</f>
        <v>23.794787500000002</v>
      </c>
      <c r="H15" s="74">
        <f t="shared" si="10"/>
        <v>42.640259200000003</v>
      </c>
      <c r="I15" s="74">
        <f t="shared" si="10"/>
        <v>52.28761784400001</v>
      </c>
      <c r="J15" s="74">
        <f t="shared" si="10"/>
        <v>62.164167881200022</v>
      </c>
      <c r="K15" s="74">
        <f t="shared" si="10"/>
        <v>66.515659632884024</v>
      </c>
      <c r="L15" s="74">
        <f t="shared" ref="J15:Q15" si="11">L14*(1-$A$15)</f>
        <v>77.557259131942772</v>
      </c>
      <c r="M15" s="74">
        <f t="shared" si="11"/>
        <v>89.684394196210178</v>
      </c>
      <c r="N15" s="74">
        <f t="shared" si="11"/>
        <v>102.01599839818908</v>
      </c>
      <c r="O15" s="74">
        <f t="shared" si="11"/>
        <v>113.1592843770682</v>
      </c>
      <c r="P15" s="74">
        <f t="shared" si="11"/>
        <v>123.66693221208166</v>
      </c>
      <c r="Q15" s="74">
        <f t="shared" si="11"/>
        <v>125.52193619526288</v>
      </c>
    </row>
    <row r="16" spans="1:28" ht="32.25" hidden="1" thickBot="1" x14ac:dyDescent="0.3">
      <c r="A16" s="13" t="s">
        <v>6</v>
      </c>
      <c r="B16" s="14"/>
      <c r="C16" s="15">
        <f t="shared" ref="C16:J16" si="12">C15/C14</f>
        <v>0.75359342915811101</v>
      </c>
      <c r="D16" s="15">
        <f t="shared" si="12"/>
        <v>0.68925619834710738</v>
      </c>
      <c r="E16" s="15">
        <f t="shared" si="12"/>
        <v>0.57062001543606899</v>
      </c>
      <c r="F16" s="15">
        <f t="shared" si="12"/>
        <v>0.63663366336633653</v>
      </c>
      <c r="G16" s="15">
        <f t="shared" si="12"/>
        <v>0.55000000000000004</v>
      </c>
      <c r="H16" s="15">
        <f t="shared" si="12"/>
        <v>0.55000000000000004</v>
      </c>
      <c r="I16" s="15">
        <f t="shared" si="12"/>
        <v>0.55000000000000004</v>
      </c>
      <c r="J16" s="15">
        <f t="shared" si="12"/>
        <v>0.55000000000000004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0.82050991379310356</v>
      </c>
      <c r="H17" s="74">
        <f t="shared" ref="H17:P17" si="13">H15/H18</f>
        <v>1.4703537655172414</v>
      </c>
      <c r="I17" s="74">
        <f t="shared" si="13"/>
        <v>1.8030213049655175</v>
      </c>
      <c r="J17" s="74">
        <f t="shared" si="13"/>
        <v>2.1435919959034488</v>
      </c>
      <c r="K17" s="74">
        <f t="shared" si="13"/>
        <v>2.2936434356166906</v>
      </c>
      <c r="L17" s="74">
        <f t="shared" si="13"/>
        <v>2.6743882459290611</v>
      </c>
      <c r="M17" s="74">
        <f t="shared" si="13"/>
        <v>3.0925653171106959</v>
      </c>
      <c r="N17" s="74">
        <f t="shared" si="13"/>
        <v>3.5177930482134165</v>
      </c>
      <c r="O17" s="74">
        <f t="shared" si="13"/>
        <v>3.9020442888644209</v>
      </c>
      <c r="P17" s="74">
        <f t="shared" si="13"/>
        <v>4.2643769728304024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29</v>
      </c>
      <c r="H18" s="74">
        <f>G18*1</f>
        <v>29</v>
      </c>
      <c r="I18" s="74">
        <f t="shared" ref="I18:P18" si="14">H18*1</f>
        <v>29</v>
      </c>
      <c r="J18" s="74">
        <f t="shared" si="14"/>
        <v>29</v>
      </c>
      <c r="K18" s="74">
        <f t="shared" si="14"/>
        <v>29</v>
      </c>
      <c r="L18" s="74">
        <f t="shared" si="14"/>
        <v>29</v>
      </c>
      <c r="M18" s="74">
        <f t="shared" si="14"/>
        <v>29</v>
      </c>
      <c r="N18" s="74">
        <f t="shared" si="14"/>
        <v>29</v>
      </c>
      <c r="O18" s="74">
        <f t="shared" si="14"/>
        <v>29</v>
      </c>
      <c r="P18" s="74">
        <f t="shared" si="14"/>
        <v>29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21.646383898112351</v>
      </c>
      <c r="H19" s="53">
        <f>H15/(1+$C$55)^2</f>
        <v>35.287987214389197</v>
      </c>
      <c r="I19" s="53">
        <f>I15/(1+$C$55)^3</f>
        <v>39.36492546886037</v>
      </c>
      <c r="J19" s="53">
        <f>J15/(1+$C$55)^4</f>
        <v>42.574957927557271</v>
      </c>
      <c r="K19" s="53">
        <f>K15/(1+$C$55)^5</f>
        <v>41.44207867408349</v>
      </c>
      <c r="L19" s="53">
        <f>L15/(1+$C$55)^6</f>
        <v>43.958575150312797</v>
      </c>
      <c r="M19" s="53">
        <f>M15/(1+$C$55)^7</f>
        <v>46.242527004939632</v>
      </c>
      <c r="N19" s="53">
        <f>N15/(1+$C$55)^8</f>
        <v>47.851602882073074</v>
      </c>
      <c r="O19" s="53">
        <f>O15/(1+$C$55)^9</f>
        <v>48.286077119679057</v>
      </c>
      <c r="P19" s="53">
        <f>P15/(1+$C$55)^10</f>
        <v>48.005262024827935</v>
      </c>
      <c r="Q19" s="54">
        <f>(Q15/(C55-Q12))/(1+C55)^10</f>
        <v>578.34232587774898</v>
      </c>
    </row>
    <row r="20" spans="1:18" x14ac:dyDescent="0.25">
      <c r="A20" s="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2" t="s">
        <v>25</v>
      </c>
      <c r="H23" s="93"/>
      <c r="I23" s="94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5"/>
      <c r="H24" s="6"/>
      <c r="I24" s="96"/>
      <c r="J24" s="26"/>
    </row>
    <row r="25" spans="1:18" x14ac:dyDescent="0.25">
      <c r="A25" s="35"/>
      <c r="B25" s="36"/>
      <c r="C25" s="36"/>
      <c r="D25" s="38"/>
      <c r="F25" s="36"/>
      <c r="G25" s="95" t="s">
        <v>27</v>
      </c>
      <c r="H25" s="6"/>
      <c r="I25" s="97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95"/>
      <c r="H26" s="6"/>
      <c r="I26" s="96"/>
      <c r="J26" s="26"/>
    </row>
    <row r="27" spans="1:18" x14ac:dyDescent="0.25">
      <c r="A27" s="35"/>
      <c r="B27" s="36"/>
      <c r="C27" s="36"/>
      <c r="D27" s="38"/>
      <c r="F27" s="36"/>
      <c r="G27" s="95" t="s">
        <v>28</v>
      </c>
      <c r="H27" s="6"/>
      <c r="I27" s="98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5"/>
      <c r="H28" s="6"/>
      <c r="I28" s="96"/>
      <c r="J28" s="26"/>
    </row>
    <row r="29" spans="1:18" x14ac:dyDescent="0.25">
      <c r="A29" s="35"/>
      <c r="B29" s="36"/>
      <c r="C29" s="36"/>
      <c r="D29" s="39"/>
      <c r="F29" s="36"/>
      <c r="G29" s="95" t="s">
        <v>35</v>
      </c>
      <c r="H29" s="6"/>
      <c r="I29" s="96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5"/>
      <c r="H30" s="6"/>
      <c r="I30" s="96"/>
      <c r="J30" s="26"/>
    </row>
    <row r="31" spans="1:18" x14ac:dyDescent="0.25">
      <c r="A31" s="35"/>
      <c r="B31" s="36"/>
      <c r="C31" s="36"/>
      <c r="D31" s="37"/>
      <c r="F31" s="36"/>
      <c r="G31" s="95" t="s">
        <v>31</v>
      </c>
      <c r="H31" s="6"/>
      <c r="I31" s="98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95"/>
      <c r="H32" s="6"/>
      <c r="I32" s="6"/>
      <c r="J32" s="26"/>
    </row>
    <row r="33" spans="1:10" x14ac:dyDescent="0.25">
      <c r="A33" s="25"/>
      <c r="G33" s="99" t="s">
        <v>34</v>
      </c>
      <c r="H33" s="100"/>
      <c r="I33" s="101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95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44968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1182.6200000000001</v>
      </c>
      <c r="D49" s="47">
        <f>SUM(G19:Q19)</f>
        <v>993.00270324258418</v>
      </c>
      <c r="E49" s="46" t="s">
        <v>46</v>
      </c>
    </row>
    <row r="50" spans="1:17" x14ac:dyDescent="0.25">
      <c r="A50" s="45"/>
      <c r="B50" s="46" t="s">
        <v>11</v>
      </c>
      <c r="C50" s="56">
        <v>29</v>
      </c>
      <c r="D50" s="56">
        <f>C50</f>
        <v>29</v>
      </c>
      <c r="E50" s="46"/>
    </row>
    <row r="51" spans="1:17" x14ac:dyDescent="0.25">
      <c r="A51" s="45"/>
      <c r="B51" s="46" t="s">
        <v>13</v>
      </c>
      <c r="C51" s="89">
        <v>40.78</v>
      </c>
      <c r="D51" s="56">
        <f>D49/(D50)</f>
        <v>34.241472525606348</v>
      </c>
      <c r="E51" s="46" t="s">
        <v>46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0.19095345474713543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835252.0039176913</v>
      </c>
      <c r="E57" s="46"/>
      <c r="F57" s="1" t="s">
        <v>23</v>
      </c>
      <c r="H57" s="1">
        <f>G15/(1+$B$57)</f>
        <v>21.475439981949457</v>
      </c>
      <c r="I57" s="1">
        <f>H15/(1+$B$57)^2</f>
        <v>34.732841559253991</v>
      </c>
      <c r="J57" s="1">
        <f>I15/(1+$B$57)^3</f>
        <v>38.439663323136472</v>
      </c>
      <c r="K57" s="1">
        <f>J15/(1+$B$57)^4</f>
        <v>41.24592835515044</v>
      </c>
      <c r="L57" s="1">
        <f>K15/(1+$B$57)^5</f>
        <v>39.831356805064054</v>
      </c>
      <c r="M57" s="1">
        <f>L15/(1+$B$57)^6</f>
        <v>41.916391728072817</v>
      </c>
      <c r="N57" s="1">
        <f>M15/(1+$B$57)^7</f>
        <v>43.746020904257151</v>
      </c>
      <c r="O57" s="1">
        <f>N15/(1+$B$57)^8</f>
        <v>44.910738969848822</v>
      </c>
      <c r="P57" s="1">
        <f>O15/(1+$B$57)^9</f>
        <v>44.960625933436539</v>
      </c>
      <c r="Q57" s="1">
        <f>(Q15/(B57-Q12))/(1+B57)^10</f>
        <v>483.99299635752169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41</v>
      </c>
      <c r="B59" s="23"/>
      <c r="C59" s="69">
        <v>9</v>
      </c>
      <c r="D59" s="23"/>
      <c r="E59" s="24"/>
    </row>
    <row r="60" spans="1:17" x14ac:dyDescent="0.25">
      <c r="A60" s="25" t="s">
        <v>21</v>
      </c>
      <c r="C60" s="70"/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38.379392755473624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0.4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10.392915315497598</v>
      </c>
    </row>
    <row r="67" spans="1:5" x14ac:dyDescent="0.25">
      <c r="A67" s="25"/>
      <c r="E67" s="61"/>
    </row>
    <row r="68" spans="1:5" x14ac:dyDescent="0.25">
      <c r="A68" s="62" t="s">
        <v>47</v>
      </c>
      <c r="E68" s="63">
        <f>(E66*0.25)*-1</f>
        <v>-2.5982288288743995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42</v>
      </c>
      <c r="E70" s="60">
        <f>SUM(E62:E68)</f>
        <v>46.174079242096823</v>
      </c>
    </row>
    <row r="71" spans="1:5" x14ac:dyDescent="0.25">
      <c r="A71" s="25"/>
      <c r="E71" s="60"/>
    </row>
    <row r="72" spans="1:5" x14ac:dyDescent="0.25">
      <c r="A72" s="25" t="s">
        <v>43</v>
      </c>
      <c r="E72" s="64">
        <f>E70/C51-1</f>
        <v>0.13227266410242322</v>
      </c>
    </row>
    <row r="73" spans="1:5" x14ac:dyDescent="0.25">
      <c r="A73" s="25"/>
      <c r="E73" s="26"/>
    </row>
    <row r="74" spans="1:5" ht="16.5" thickBot="1" x14ac:dyDescent="0.3">
      <c r="A74" s="65" t="s">
        <v>44</v>
      </c>
      <c r="B74" s="66"/>
      <c r="C74" s="66"/>
      <c r="D74" s="66"/>
      <c r="E74" s="104">
        <f>(E70/C51)^(1/9)-1</f>
        <v>1.3898680954977483E-2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zoomScaleNormal="100" workbookViewId="0">
      <selection activeCell="E68" sqref="E68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5">
        <v>2022</v>
      </c>
      <c r="H10" s="55">
        <v>2023</v>
      </c>
      <c r="I10" s="55">
        <v>2024</v>
      </c>
      <c r="J10" s="55">
        <v>2025</v>
      </c>
      <c r="K10" s="55">
        <v>2026</v>
      </c>
      <c r="L10" s="55">
        <v>2027</v>
      </c>
      <c r="M10" s="55">
        <v>2028</v>
      </c>
      <c r="N10" s="55">
        <v>2029</v>
      </c>
      <c r="O10" s="55">
        <v>2030</v>
      </c>
      <c r="P10" s="55">
        <v>2031</v>
      </c>
      <c r="Q10" s="55" t="s">
        <v>45</v>
      </c>
    </row>
    <row r="11" spans="1:28" x14ac:dyDescent="0.25">
      <c r="A11" s="5"/>
      <c r="B11" s="4" t="s">
        <v>4</v>
      </c>
      <c r="C11" s="84">
        <v>422.9</v>
      </c>
      <c r="D11" s="84">
        <v>652.11</v>
      </c>
      <c r="E11" s="84">
        <v>924.75</v>
      </c>
      <c r="F11" s="84">
        <v>1730.53</v>
      </c>
      <c r="G11" s="74">
        <f>F11*(1+G12)</f>
        <v>951.79150000000004</v>
      </c>
      <c r="H11" s="74">
        <f t="shared" ref="H11" si="0">G11*(1+H12)</f>
        <v>1094.5602249999999</v>
      </c>
      <c r="I11" s="74">
        <f t="shared" ref="I11" si="1">H11*(1+I12)</f>
        <v>1204.0162475</v>
      </c>
      <c r="J11" s="74">
        <f t="shared" ref="J11" si="2">I11*(1+J12)</f>
        <v>1300.3375473000001</v>
      </c>
      <c r="K11" s="74">
        <f t="shared" ref="K11" si="3">J11*(1+K12)</f>
        <v>1404.3645510840001</v>
      </c>
      <c r="L11" s="74">
        <f t="shared" ref="L11:Q11" si="4">K11*(1+L12)</f>
        <v>1502.6700696598803</v>
      </c>
      <c r="M11" s="74">
        <f t="shared" si="4"/>
        <v>1592.8302738394732</v>
      </c>
      <c r="N11" s="74">
        <f t="shared" si="4"/>
        <v>1672.471787531447</v>
      </c>
      <c r="O11" s="74">
        <f t="shared" si="4"/>
        <v>1739.3706590327049</v>
      </c>
      <c r="P11" s="74">
        <f t="shared" si="4"/>
        <v>1791.5517788036861</v>
      </c>
      <c r="Q11" s="74">
        <f t="shared" si="4"/>
        <v>1827.3828143797598</v>
      </c>
    </row>
    <row r="12" spans="1:28" x14ac:dyDescent="0.25">
      <c r="A12" s="5"/>
      <c r="B12" s="4" t="s">
        <v>1</v>
      </c>
      <c r="C12" s="91"/>
      <c r="D12" s="91">
        <f t="shared" ref="D12:I12" si="5">D11/C11-1</f>
        <v>0.54199574367462766</v>
      </c>
      <c r="E12" s="91">
        <f t="shared" si="5"/>
        <v>0.41808897271932643</v>
      </c>
      <c r="F12" s="91">
        <f t="shared" si="5"/>
        <v>0.87134901324682335</v>
      </c>
      <c r="G12" s="87">
        <v>-0.45</v>
      </c>
      <c r="H12" s="87">
        <v>0.15</v>
      </c>
      <c r="I12" s="87">
        <v>0.1</v>
      </c>
      <c r="J12" s="87">
        <v>0.08</v>
      </c>
      <c r="K12" s="87">
        <v>0.08</v>
      </c>
      <c r="L12" s="73">
        <v>7.0000000000000007E-2</v>
      </c>
      <c r="M12" s="73">
        <v>0.06</v>
      </c>
      <c r="N12" s="73">
        <v>0.05</v>
      </c>
      <c r="O12" s="73">
        <v>0.04</v>
      </c>
      <c r="P12" s="73">
        <v>0.03</v>
      </c>
      <c r="Q12" s="12">
        <v>0.02</v>
      </c>
    </row>
    <row r="13" spans="1:28" ht="15.95" customHeight="1" x14ac:dyDescent="0.25">
      <c r="A13" s="5"/>
      <c r="B13" s="4" t="s">
        <v>15</v>
      </c>
      <c r="C13" s="90">
        <v>4.87E-2</v>
      </c>
      <c r="D13" s="90">
        <v>0.18149999999999999</v>
      </c>
      <c r="E13" s="90">
        <v>0.38869999999999999</v>
      </c>
      <c r="F13" s="90">
        <v>0.40400000000000003</v>
      </c>
      <c r="G13" s="86">
        <v>0.1</v>
      </c>
      <c r="H13" s="86">
        <v>0.15</v>
      </c>
      <c r="I13" s="86">
        <v>0.15</v>
      </c>
      <c r="J13" s="86">
        <v>0.16</v>
      </c>
      <c r="K13" s="86">
        <v>0.16</v>
      </c>
      <c r="L13" s="86">
        <v>0.17</v>
      </c>
      <c r="M13" s="86">
        <v>0.17</v>
      </c>
      <c r="N13" s="86">
        <v>0.18</v>
      </c>
      <c r="O13" s="86">
        <v>0.19</v>
      </c>
      <c r="P13" s="86">
        <v>0.2</v>
      </c>
      <c r="Q13" s="86">
        <v>0.2</v>
      </c>
    </row>
    <row r="14" spans="1:28" ht="17.100000000000001" customHeight="1" x14ac:dyDescent="0.25">
      <c r="A14" s="5"/>
      <c r="B14" s="4" t="s">
        <v>16</v>
      </c>
      <c r="C14" s="84">
        <f t="shared" ref="C14:E14" si="6">C11*C13</f>
        <v>20.595229999999997</v>
      </c>
      <c r="D14" s="84">
        <f t="shared" si="6"/>
        <v>118.35796499999999</v>
      </c>
      <c r="E14" s="84">
        <f t="shared" si="6"/>
        <v>359.45032499999996</v>
      </c>
      <c r="F14" s="84">
        <f>F11*F13</f>
        <v>699.13412000000005</v>
      </c>
      <c r="G14" s="74">
        <f t="shared" ref="D14:J14" si="7">G11*G13</f>
        <v>95.179150000000007</v>
      </c>
      <c r="H14" s="74">
        <f t="shared" si="7"/>
        <v>164.18403375</v>
      </c>
      <c r="I14" s="74">
        <f t="shared" si="7"/>
        <v>180.60243712499999</v>
      </c>
      <c r="J14" s="74">
        <f t="shared" si="7"/>
        <v>208.05400756800003</v>
      </c>
      <c r="K14" s="74">
        <f t="shared" ref="K14:Q14" si="8">K11*K13</f>
        <v>224.69832817344002</v>
      </c>
      <c r="L14" s="74">
        <f t="shared" si="8"/>
        <v>255.45391184217965</v>
      </c>
      <c r="M14" s="74">
        <f t="shared" si="8"/>
        <v>270.78114655271048</v>
      </c>
      <c r="N14" s="74">
        <f t="shared" si="8"/>
        <v>301.04492175566048</v>
      </c>
      <c r="O14" s="74">
        <f>O11*O13</f>
        <v>330.48042521621392</v>
      </c>
      <c r="P14" s="74">
        <f t="shared" si="8"/>
        <v>358.31035576073725</v>
      </c>
      <c r="Q14" s="74">
        <f t="shared" si="8"/>
        <v>365.47656287595197</v>
      </c>
    </row>
    <row r="15" spans="1:28" x14ac:dyDescent="0.25">
      <c r="A15" s="102">
        <v>0.4</v>
      </c>
      <c r="B15" s="4" t="s">
        <v>39</v>
      </c>
      <c r="C15" s="84">
        <v>15.520430000000001</v>
      </c>
      <c r="D15" s="84">
        <v>81.578960999999993</v>
      </c>
      <c r="E15" s="84">
        <v>205.10954999999998</v>
      </c>
      <c r="F15" s="84">
        <v>445.09231599999998</v>
      </c>
      <c r="G15" s="74">
        <f t="shared" ref="G15:I15" si="9">G14*(1-$A$15)</f>
        <v>57.107490000000006</v>
      </c>
      <c r="H15" s="74">
        <f t="shared" si="9"/>
        <v>98.510420249999996</v>
      </c>
      <c r="I15" s="74">
        <f t="shared" si="9"/>
        <v>108.36146227499999</v>
      </c>
      <c r="J15" s="74">
        <f t="shared" ref="J15:Q15" si="10">J14*(1-$A$15)</f>
        <v>124.83240454080001</v>
      </c>
      <c r="K15" s="74">
        <f t="shared" si="10"/>
        <v>134.81899690406399</v>
      </c>
      <c r="L15" s="74">
        <f t="shared" si="10"/>
        <v>153.27234710530777</v>
      </c>
      <c r="M15" s="74">
        <f t="shared" si="10"/>
        <v>162.46868793162628</v>
      </c>
      <c r="N15" s="74">
        <f t="shared" si="10"/>
        <v>180.62695305339628</v>
      </c>
      <c r="O15" s="74">
        <f>O14*(1-$A$15)</f>
        <v>198.28825512972836</v>
      </c>
      <c r="P15" s="74">
        <f t="shared" si="10"/>
        <v>214.98621345644236</v>
      </c>
      <c r="Q15" s="74">
        <f t="shared" si="10"/>
        <v>219.28593772557119</v>
      </c>
    </row>
    <row r="16" spans="1:28" ht="32.25" hidden="1" thickBot="1" x14ac:dyDescent="0.3">
      <c r="A16" s="13" t="s">
        <v>6</v>
      </c>
      <c r="B16" s="14"/>
      <c r="C16" s="15">
        <f t="shared" ref="C16:J16" si="11">C15/C14</f>
        <v>0.75359342915811101</v>
      </c>
      <c r="D16" s="15">
        <f t="shared" si="11"/>
        <v>0.68925619834710738</v>
      </c>
      <c r="E16" s="15">
        <f t="shared" si="11"/>
        <v>0.57062001543606899</v>
      </c>
      <c r="F16" s="15">
        <f t="shared" si="11"/>
        <v>0.63663366336633653</v>
      </c>
      <c r="G16" s="15">
        <f t="shared" si="11"/>
        <v>0.6</v>
      </c>
      <c r="H16" s="15">
        <f t="shared" si="11"/>
        <v>0.6</v>
      </c>
      <c r="I16" s="15">
        <f t="shared" si="11"/>
        <v>0.6</v>
      </c>
      <c r="J16" s="15">
        <f t="shared" si="11"/>
        <v>0.6</v>
      </c>
    </row>
    <row r="17" spans="1:18" x14ac:dyDescent="0.25">
      <c r="A17" s="2" t="s">
        <v>36</v>
      </c>
      <c r="C17" s="84"/>
      <c r="D17" s="84"/>
      <c r="E17" s="84"/>
      <c r="F17" s="84"/>
      <c r="G17" s="74">
        <f>G15/G18</f>
        <v>1.9692237931034484</v>
      </c>
      <c r="H17" s="74">
        <f t="shared" ref="H17:O17" si="12">H15/H18</f>
        <v>3.3969110431034482</v>
      </c>
      <c r="I17" s="74">
        <f t="shared" si="12"/>
        <v>3.7366021474137927</v>
      </c>
      <c r="J17" s="74">
        <f t="shared" si="12"/>
        <v>4.3045656738206901</v>
      </c>
      <c r="K17" s="74">
        <f t="shared" si="12"/>
        <v>4.6489309277263446</v>
      </c>
      <c r="L17" s="74">
        <f t="shared" si="12"/>
        <v>5.2852533484588884</v>
      </c>
      <c r="M17" s="74">
        <f t="shared" si="12"/>
        <v>5.6023685493664237</v>
      </c>
      <c r="N17" s="74">
        <f t="shared" si="12"/>
        <v>6.2285156225309057</v>
      </c>
      <c r="O17" s="74">
        <f t="shared" si="12"/>
        <v>6.8375260389561499</v>
      </c>
      <c r="P17" s="74">
        <f>P15/P18</f>
        <v>7.4133177053945642</v>
      </c>
      <c r="Q17" s="74"/>
    </row>
    <row r="18" spans="1:18" ht="32.25" thickBot="1" x14ac:dyDescent="0.3">
      <c r="A18" s="2" t="s">
        <v>38</v>
      </c>
      <c r="C18" s="84"/>
      <c r="D18" s="84"/>
      <c r="E18" s="84"/>
      <c r="F18" s="84"/>
      <c r="G18" s="74">
        <f>C50</f>
        <v>29</v>
      </c>
      <c r="H18" s="74">
        <f>G18*1</f>
        <v>29</v>
      </c>
      <c r="I18" s="74">
        <f t="shared" ref="I18:P18" si="13">H18*1</f>
        <v>29</v>
      </c>
      <c r="J18" s="74">
        <f t="shared" si="13"/>
        <v>29</v>
      </c>
      <c r="K18" s="74">
        <f t="shared" si="13"/>
        <v>29</v>
      </c>
      <c r="L18" s="74">
        <f t="shared" si="13"/>
        <v>29</v>
      </c>
      <c r="M18" s="74">
        <f t="shared" si="13"/>
        <v>29</v>
      </c>
      <c r="N18" s="74">
        <f t="shared" si="13"/>
        <v>29</v>
      </c>
      <c r="O18" s="74">
        <f t="shared" si="13"/>
        <v>29</v>
      </c>
      <c r="P18" s="74">
        <f t="shared" si="13"/>
        <v>29</v>
      </c>
      <c r="Q18" s="74"/>
    </row>
    <row r="19" spans="1:18" ht="16.5" thickBot="1" x14ac:dyDescent="0.3">
      <c r="A19" s="2"/>
      <c r="E19" s="51" t="s">
        <v>12</v>
      </c>
      <c r="F19" s="52"/>
      <c r="G19" s="53">
        <f>G15/(1+$C$55)</f>
        <v>51.951321355469638</v>
      </c>
      <c r="H19" s="53">
        <f>H15/(1+$C$55)^2</f>
        <v>81.524702604671461</v>
      </c>
      <c r="I19" s="53">
        <f>I15/(1+$C$55)^3</f>
        <v>81.580325553912772</v>
      </c>
      <c r="J19" s="53">
        <f>J15/(1+$C$55)^4</f>
        <v>85.495142177036627</v>
      </c>
      <c r="K19" s="53">
        <f>K15/(1+$C$55)^5</f>
        <v>83.997956380440797</v>
      </c>
      <c r="L19" s="53">
        <f>L15/(1+$C$55)^6</f>
        <v>86.873028574040134</v>
      </c>
      <c r="M19" s="53">
        <f>M15/(1+$C$55)^7</f>
        <v>83.771126030004609</v>
      </c>
      <c r="N19" s="53">
        <f>N15/(1+$C$55)^8</f>
        <v>84.724840838918894</v>
      </c>
      <c r="O19" s="53">
        <f>O15/(1+$C$55)^9</f>
        <v>84.611369114145361</v>
      </c>
      <c r="P19" s="53">
        <f>P15/(1+$C$55)^10</f>
        <v>83.453752139683502</v>
      </c>
      <c r="Q19" s="54">
        <f>(Q15/(C55-Q12))/(1+C55)^10</f>
        <v>1074.1050748577561</v>
      </c>
    </row>
    <row r="20" spans="1:18" x14ac:dyDescent="0.25">
      <c r="A20" s="2"/>
      <c r="C20" s="77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3"/>
      <c r="K21" s="103"/>
      <c r="L21" s="103"/>
      <c r="M21" s="103"/>
      <c r="N21" s="103"/>
      <c r="O21" s="103"/>
      <c r="P21" s="103"/>
      <c r="Q21" s="103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80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81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2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81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3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81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81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81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3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8" t="s">
        <v>34</v>
      </c>
      <c r="H33" s="22"/>
      <c r="I33" s="79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5">
        <v>44968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1182.6200000000001</v>
      </c>
      <c r="D49" s="47">
        <f>SUM(G19:Q19)</f>
        <v>1882.0886396260798</v>
      </c>
      <c r="E49" s="46" t="s">
        <v>46</v>
      </c>
    </row>
    <row r="50" spans="1:17" x14ac:dyDescent="0.25">
      <c r="A50" s="45"/>
      <c r="B50" s="46" t="s">
        <v>11</v>
      </c>
      <c r="C50" s="56">
        <v>29</v>
      </c>
      <c r="D50" s="56">
        <f>C50</f>
        <v>29</v>
      </c>
      <c r="E50" s="46"/>
    </row>
    <row r="51" spans="1:17" x14ac:dyDescent="0.25">
      <c r="A51" s="45"/>
      <c r="B51" s="46" t="s">
        <v>13</v>
      </c>
      <c r="C51" s="89">
        <v>40.78</v>
      </c>
      <c r="D51" s="56">
        <f>D49/(D50)</f>
        <v>64.899608262968272</v>
      </c>
      <c r="E51" s="46" t="s">
        <v>46</v>
      </c>
    </row>
    <row r="52" spans="1:17" x14ac:dyDescent="0.25">
      <c r="A52" s="45"/>
      <c r="B52" s="46" t="s">
        <v>2</v>
      </c>
      <c r="C52" s="46"/>
      <c r="D52" s="57">
        <f>IF(C51/D51-1&gt;0,0,C51/D51-1)*-1</f>
        <v>0.37164489753524321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2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5">
        <v>0.108</v>
      </c>
      <c r="C57" s="50"/>
      <c r="D57" s="76">
        <f>SUM(H57:Q57)*1000</f>
        <v>1588967.2659878333</v>
      </c>
      <c r="E57" s="46"/>
      <c r="F57" s="1" t="s">
        <v>23</v>
      </c>
      <c r="H57" s="1">
        <f>G15/(1+$B$57)</f>
        <v>51.541055956678704</v>
      </c>
      <c r="I57" s="1">
        <f>H15/(1+$B$57)^2</f>
        <v>80.242167441580079</v>
      </c>
      <c r="J57" s="1">
        <f>I15/(1+$B$57)^3</f>
        <v>79.662801611676969</v>
      </c>
      <c r="K57" s="1">
        <f>J15/(1+$B$57)^4</f>
        <v>82.826306368819374</v>
      </c>
      <c r="L57" s="1">
        <f>K15/(1+$B$57)^5</f>
        <v>80.733222814372652</v>
      </c>
      <c r="M57" s="1">
        <f>L15/(1+$B$57)^6</f>
        <v>82.837168490153346</v>
      </c>
      <c r="N57" s="1">
        <f>M15/(1+$B$57)^7</f>
        <v>79.248554692745998</v>
      </c>
      <c r="O57" s="1">
        <f>N15/(1+$B$57)^8</f>
        <v>79.517821389514708</v>
      </c>
      <c r="P57" s="1">
        <f>O15/(1+$B$57)^9</f>
        <v>78.784203302086354</v>
      </c>
      <c r="Q57" s="1">
        <f>(Q15/(B57-Q12))/(1+B57)^10</f>
        <v>893.57396392020541</v>
      </c>
    </row>
    <row r="58" spans="1:17" ht="16.5" thickBot="1" x14ac:dyDescent="0.3">
      <c r="A58" s="22"/>
      <c r="C58" s="67"/>
      <c r="D58" s="68"/>
    </row>
    <row r="59" spans="1:17" x14ac:dyDescent="0.25">
      <c r="A59" s="59" t="s">
        <v>41</v>
      </c>
      <c r="B59" s="23"/>
      <c r="C59" s="69">
        <v>13</v>
      </c>
      <c r="D59" s="23"/>
      <c r="E59" s="24"/>
    </row>
    <row r="60" spans="1:17" x14ac:dyDescent="0.25">
      <c r="A60" s="25" t="s">
        <v>21</v>
      </c>
      <c r="C60" s="70" t="s">
        <v>40</v>
      </c>
      <c r="E60" s="26"/>
    </row>
    <row r="61" spans="1:17" x14ac:dyDescent="0.25">
      <c r="A61" s="25"/>
      <c r="C61" s="70"/>
      <c r="E61" s="26"/>
    </row>
    <row r="62" spans="1:17" x14ac:dyDescent="0.25">
      <c r="A62" s="25" t="s">
        <v>37</v>
      </c>
      <c r="C62" s="70"/>
      <c r="E62" s="60">
        <f>P17*C59</f>
        <v>96.373130170129329</v>
      </c>
    </row>
    <row r="63" spans="1:17" x14ac:dyDescent="0.25">
      <c r="A63" s="25"/>
      <c r="C63" s="70"/>
      <c r="E63" s="26"/>
    </row>
    <row r="64" spans="1:17" x14ac:dyDescent="0.25">
      <c r="A64" s="25" t="s">
        <v>17</v>
      </c>
      <c r="C64" s="71">
        <v>0.4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19.769285939949864</v>
      </c>
    </row>
    <row r="67" spans="1:5" x14ac:dyDescent="0.25">
      <c r="A67" s="25"/>
      <c r="E67" s="61"/>
    </row>
    <row r="68" spans="1:5" x14ac:dyDescent="0.25">
      <c r="A68" s="62" t="s">
        <v>47</v>
      </c>
      <c r="E68" s="63">
        <f>(E66*0.25)*-1</f>
        <v>-4.9423214849874659</v>
      </c>
    </row>
    <row r="69" spans="1:5" x14ac:dyDescent="0.25">
      <c r="A69" s="25"/>
      <c r="C69" s="41"/>
      <c r="D69" s="41"/>
      <c r="E69" s="64"/>
    </row>
    <row r="70" spans="1:5" x14ac:dyDescent="0.25">
      <c r="A70" s="25" t="s">
        <v>42</v>
      </c>
      <c r="E70" s="60">
        <f>SUM(E62:E68)</f>
        <v>111.20009462509174</v>
      </c>
    </row>
    <row r="71" spans="1:5" x14ac:dyDescent="0.25">
      <c r="A71" s="25"/>
      <c r="E71" s="60"/>
    </row>
    <row r="72" spans="1:5" x14ac:dyDescent="0.25">
      <c r="A72" s="25" t="s">
        <v>43</v>
      </c>
      <c r="E72" s="64">
        <f>E70/C51-1</f>
        <v>1.726829196299454</v>
      </c>
    </row>
    <row r="73" spans="1:5" x14ac:dyDescent="0.25">
      <c r="A73" s="25"/>
      <c r="E73" s="26"/>
    </row>
    <row r="74" spans="1:5" ht="16.5" thickBot="1" x14ac:dyDescent="0.3">
      <c r="A74" s="65" t="s">
        <v>44</v>
      </c>
      <c r="B74" s="66"/>
      <c r="C74" s="66"/>
      <c r="D74" s="66"/>
      <c r="E74" s="104">
        <f>(E70/C51)^(1/9)-1</f>
        <v>0.11790896062144229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2023-02-11T08:40:09Z</dcterms:modified>
</cp:coreProperties>
</file>