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9B2D98B3-2A25-4531-93A2-DC946D06604C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34" l="1"/>
  <c r="K15" i="34"/>
  <c r="J15" i="32" l="1"/>
  <c r="K15" i="32"/>
  <c r="J12" i="34" l="1"/>
  <c r="K12" i="34"/>
  <c r="G11" i="35"/>
  <c r="J12" i="32" l="1"/>
  <c r="K12" i="32"/>
  <c r="H12" i="35" l="1"/>
  <c r="H11" i="35" s="1"/>
  <c r="I12" i="35" l="1"/>
  <c r="J12" i="35" s="1"/>
  <c r="K12" i="35" s="1"/>
  <c r="L12" i="35" s="1"/>
  <c r="M12" i="35" s="1"/>
  <c r="N12" i="35" s="1"/>
  <c r="O12" i="35" s="1"/>
  <c r="J57" i="35"/>
  <c r="I57" i="35"/>
  <c r="H57" i="35"/>
  <c r="D50" i="35"/>
  <c r="C49" i="35"/>
  <c r="I31" i="35"/>
  <c r="I33" i="35" s="1"/>
  <c r="D46" i="35" s="1"/>
  <c r="C55" i="35" s="1"/>
  <c r="I25" i="35"/>
  <c r="G18" i="35"/>
  <c r="H18" i="35" s="1"/>
  <c r="I18" i="35" s="1"/>
  <c r="J18" i="35" s="1"/>
  <c r="K18" i="35" s="1"/>
  <c r="L18" i="35" s="1"/>
  <c r="M18" i="35" s="1"/>
  <c r="N18" i="35" s="1"/>
  <c r="O18" i="35" s="1"/>
  <c r="P18" i="35" s="1"/>
  <c r="F14" i="35"/>
  <c r="F16" i="35" s="1"/>
  <c r="E14" i="35"/>
  <c r="E16" i="35" s="1"/>
  <c r="D14" i="35"/>
  <c r="D16" i="35" s="1"/>
  <c r="C14" i="35"/>
  <c r="C16" i="35" s="1"/>
  <c r="F12" i="35"/>
  <c r="E12" i="35"/>
  <c r="D12" i="35"/>
  <c r="I11" i="35" l="1"/>
  <c r="J11" i="35" s="1"/>
  <c r="K11" i="35" s="1"/>
  <c r="L11" i="35" s="1"/>
  <c r="G17" i="35"/>
  <c r="I19" i="35"/>
  <c r="H19" i="35"/>
  <c r="G19" i="35"/>
  <c r="H17" i="35"/>
  <c r="I17" i="35" l="1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G14" i="32" l="1"/>
  <c r="H14" i="32"/>
  <c r="I14" i="32"/>
  <c r="D14" i="32"/>
  <c r="E14" i="32"/>
  <c r="F14" i="32"/>
  <c r="C14" i="32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H14" i="35" l="1"/>
  <c r="H16" i="35" s="1"/>
  <c r="G14" i="35"/>
  <c r="G16" i="35" s="1"/>
  <c r="I14" i="35" l="1"/>
  <c r="I16" i="35" s="1"/>
  <c r="J14" i="35" l="1"/>
  <c r="J15" i="35" s="1"/>
  <c r="J16" i="35" l="1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D52" i="35" l="1"/>
  <c r="E70" i="35"/>
  <c r="E74" i="35" s="1"/>
  <c r="E72" i="35" l="1"/>
  <c r="J14" i="32" l="1"/>
  <c r="J17" i="32" l="1"/>
  <c r="J19" i="32"/>
  <c r="K57" i="32"/>
  <c r="J16" i="32"/>
  <c r="K14" i="32"/>
  <c r="L11" i="32" l="1"/>
  <c r="L14" i="32" s="1"/>
  <c r="L15" i="32" s="1"/>
  <c r="L19" i="32" s="1"/>
  <c r="K19" i="32"/>
  <c r="L57" i="32"/>
  <c r="K17" i="32"/>
  <c r="M11" i="32" l="1"/>
  <c r="N11" i="32" s="1"/>
  <c r="L17" i="32"/>
  <c r="M57" i="32"/>
  <c r="M14" i="32" l="1"/>
  <c r="M15" i="32" s="1"/>
  <c r="M19" i="32" s="1"/>
  <c r="N14" i="32"/>
  <c r="N15" i="32" s="1"/>
  <c r="O11" i="32"/>
  <c r="N57" i="32" l="1"/>
  <c r="M17" i="32"/>
  <c r="N19" i="32"/>
  <c r="O57" i="32"/>
  <c r="N17" i="32"/>
  <c r="O14" i="32"/>
  <c r="O15" i="32" s="1"/>
  <c r="P11" i="32"/>
  <c r="Q11" i="32" l="1"/>
  <c r="Q14" i="32" s="1"/>
  <c r="Q15" i="32" s="1"/>
  <c r="P14" i="32"/>
  <c r="P15" i="32" s="1"/>
  <c r="O19" i="32"/>
  <c r="O17" i="32"/>
  <c r="P57" i="32"/>
  <c r="D43" i="32"/>
  <c r="P17" i="32" l="1"/>
  <c r="E62" i="32" s="1"/>
  <c r="P19" i="32"/>
  <c r="D44" i="32"/>
  <c r="D41" i="32"/>
  <c r="D40" i="32"/>
  <c r="D42" i="32"/>
  <c r="Q19" i="32"/>
  <c r="Q57" i="32"/>
  <c r="D57" i="32" s="1"/>
  <c r="D49" i="32" l="1"/>
  <c r="D51" i="32" s="1"/>
  <c r="D52" i="32" s="1"/>
  <c r="D53" i="32"/>
  <c r="E66" i="32"/>
  <c r="E68" i="32" s="1"/>
  <c r="E70" i="32" l="1"/>
  <c r="E74" i="32" l="1"/>
  <c r="E72" i="32"/>
  <c r="J19" i="34" l="1"/>
  <c r="J17" i="34"/>
  <c r="K57" i="34"/>
  <c r="J16" i="34"/>
  <c r="K19" i="34" l="1"/>
  <c r="L57" i="34"/>
  <c r="K17" i="34"/>
  <c r="L11" i="34"/>
  <c r="L14" i="34" l="1"/>
  <c r="L15" i="34" s="1"/>
  <c r="M11" i="34"/>
  <c r="M14" i="34" l="1"/>
  <c r="M15" i="34" s="1"/>
  <c r="N11" i="34"/>
  <c r="L19" i="34"/>
  <c r="M57" i="34"/>
  <c r="L17" i="34"/>
  <c r="O11" i="34" l="1"/>
  <c r="N14" i="34"/>
  <c r="N15" i="34" s="1"/>
  <c r="M17" i="34"/>
  <c r="N57" i="34"/>
  <c r="M19" i="34"/>
  <c r="N17" i="34" l="1"/>
  <c r="O57" i="34"/>
  <c r="N19" i="34"/>
  <c r="O14" i="34"/>
  <c r="O15" i="34" s="1"/>
  <c r="P11" i="34"/>
  <c r="Q11" i="34" l="1"/>
  <c r="Q14" i="34" s="1"/>
  <c r="Q15" i="34" s="1"/>
  <c r="P14" i="34"/>
  <c r="P15" i="34" s="1"/>
  <c r="O19" i="34"/>
  <c r="P57" i="34"/>
  <c r="O17" i="34"/>
  <c r="P17" i="34" l="1"/>
  <c r="P19" i="34"/>
  <c r="D41" i="34"/>
  <c r="D40" i="34"/>
  <c r="D43" i="34"/>
  <c r="D44" i="34"/>
  <c r="D42" i="34"/>
  <c r="Q57" i="34"/>
  <c r="D57" i="34" s="1"/>
  <c r="Q19" i="34"/>
  <c r="D49" i="34" l="1"/>
  <c r="D51" i="34" s="1"/>
  <c r="E62" i="34"/>
  <c r="E66" i="34"/>
  <c r="E68" i="34" s="1"/>
  <c r="E70" i="34" l="1"/>
  <c r="E74" i="34" s="1"/>
  <c r="D52" i="34"/>
  <c r="D53" i="34"/>
  <c r="E72" i="34" l="1"/>
</calcChain>
</file>

<file path=xl/sharedStrings.xml><?xml version="1.0" encoding="utf-8"?>
<sst xmlns="http://schemas.openxmlformats.org/spreadsheetml/2006/main" count="149" uniqueCount="49">
  <si>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</si>
  <si>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</si>
  <si>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</si>
  <si>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</si>
  <si>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</si>
  <si>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</si>
  <si>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</si>
  <si>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</si>
  <si>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</si>
  <si>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</si>
  <si>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</si>
  <si>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</si>
  <si>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</si>
  <si>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</si>
  <si>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</si>
  <si>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</si>
  <si>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</si>
  <si>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</si>
  <si>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</si>
  <si>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</si>
  <si>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</si>
  <si>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</si>
  <si>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</si>
  <si>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</si>
  <si>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</si>
  <si>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</si>
  <si>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</si>
  <si>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</si>
  <si>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</si>
  <si>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</si>
  <si>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</si>
  <si>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</si>
  <si>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</si>
  <si>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</si>
  <si>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</si>
  <si>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</si>
  <si>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</si>
  <si>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</si>
  <si>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</si>
  <si>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</si>
  <si>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</si>
  <si>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KGV Multiple in 2031</t>
  </si>
  <si>
    <t>Gesamtwert 2031</t>
  </si>
  <si>
    <t>Steigerung Gesamt bis 2031 in Prozent</t>
  </si>
  <si>
    <t>Renditeerwartung bis 2031 pro Jahr</t>
  </si>
  <si>
    <t>2032ff.</t>
  </si>
  <si>
    <t>USD</t>
  </si>
  <si>
    <t xml:space="preserve"> Annahmen für ICON</t>
  </si>
  <si>
    <t>Quellensteuer Irland (25 %)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</si>
</sst>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3" fillId="2" borderId="0" xfId="1" applyNumberFormat="1" applyFont="1" applyFill="1" applyBorder="1"/>
    <xf numFmtId="3" fontId="5" fillId="2" borderId="0" xfId="0" applyNumberFormat="1" applyFont="1" applyFill="1"/>
    <xf numFmtId="165" fontId="5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5" fillId="2" borderId="0" xfId="0" applyNumberFormat="1" applyFont="1" applyFill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10" fontId="5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9" fillId="5" borderId="0" xfId="0" applyNumberFormat="1" applyFon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Alignment="1">
      <alignment horizontal="right"/>
    </xf>
    <xf numFmtId="0" fontId="10" fillId="2" borderId="7" xfId="0" applyFont="1" applyFill="1" applyBorder="1"/>
    <xf numFmtId="0" fontId="10" fillId="2" borderId="0" xfId="0" applyFont="1" applyFill="1"/>
    <xf numFmtId="10" fontId="10" fillId="2" borderId="0" xfId="0" applyNumberFormat="1" applyFont="1" applyFill="1"/>
    <xf numFmtId="9" fontId="9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abSelected="1" zoomScaleNormal="100" workbookViewId="0">
      <selection activeCell="C60" sqref="C60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47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45</v>
      </c>
    </row>
    <row r="11" spans="1:28" x14ac:dyDescent="0.25">
      <c r="A11" s="5"/>
      <c r="B11" s="4" t="s">
        <v>4</v>
      </c>
      <c r="C11" s="84">
        <v>2592.7800000000002</v>
      </c>
      <c r="D11" s="84">
        <v>2805.84</v>
      </c>
      <c r="E11" s="84">
        <v>2797.29</v>
      </c>
      <c r="F11" s="84">
        <v>5480.83</v>
      </c>
      <c r="G11" s="74">
        <v>7745.8</v>
      </c>
      <c r="H11" s="74">
        <v>8137.01</v>
      </c>
      <c r="I11" s="74">
        <v>8765.64</v>
      </c>
      <c r="J11" s="74">
        <v>9525.2099999999991</v>
      </c>
      <c r="K11" s="74">
        <v>9918.35</v>
      </c>
      <c r="L11" s="74">
        <f t="shared" ref="L11:Q11" si="0">K11*(1+L12)</f>
        <v>10513.451000000001</v>
      </c>
      <c r="M11" s="74">
        <f t="shared" si="0"/>
        <v>11039.123550000002</v>
      </c>
      <c r="N11" s="74">
        <f t="shared" si="0"/>
        <v>11480.688492000003</v>
      </c>
      <c r="O11" s="74">
        <f t="shared" si="0"/>
        <v>11825.109146760004</v>
      </c>
      <c r="P11" s="74">
        <f t="shared" si="0"/>
        <v>12061.611329695204</v>
      </c>
      <c r="Q11" s="74">
        <f t="shared" si="0"/>
        <v>12242.535499640631</v>
      </c>
    </row>
    <row r="12" spans="1:28" x14ac:dyDescent="0.25">
      <c r="A12" s="5"/>
      <c r="B12" s="4" t="s">
        <v>1</v>
      </c>
      <c r="C12" s="88"/>
      <c r="D12" s="91">
        <f t="shared" ref="D12:I12" si="1">D11/C11-1</f>
        <v>8.2174345683011962E-2</v>
      </c>
      <c r="E12" s="91">
        <f t="shared" si="1"/>
        <v>-3.0472158070311561E-3</v>
      </c>
      <c r="F12" s="91">
        <f t="shared" si="1"/>
        <v>0.95933564271133842</v>
      </c>
      <c r="G12" s="87">
        <f t="shared" si="1"/>
        <v>0.41325310217613032</v>
      </c>
      <c r="H12" s="87">
        <f t="shared" si="1"/>
        <v>5.0506080714709967E-2</v>
      </c>
      <c r="I12" s="87">
        <f t="shared" si="1"/>
        <v>7.7255650417044963E-2</v>
      </c>
      <c r="J12" s="87">
        <f t="shared" ref="J12" si="2">J11/I11-1</f>
        <v>8.6653113748682342E-2</v>
      </c>
      <c r="K12" s="87">
        <f t="shared" ref="K12" si="3">K11/J11-1</f>
        <v>4.1273630712603815E-2</v>
      </c>
      <c r="L12" s="73">
        <v>0.06</v>
      </c>
      <c r="M12" s="73">
        <v>0.05</v>
      </c>
      <c r="N12" s="73">
        <v>0.04</v>
      </c>
      <c r="O12" s="73">
        <v>0.03</v>
      </c>
      <c r="P12" s="73">
        <v>0.02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90">
        <v>0.14383246326629753</v>
      </c>
      <c r="D13" s="90">
        <v>0.15446574090673057</v>
      </c>
      <c r="E13" s="90">
        <v>0.13995698691017872</v>
      </c>
      <c r="F13" s="90">
        <v>6.9064224990904657E-2</v>
      </c>
      <c r="G13" s="86">
        <v>0.17649999999999999</v>
      </c>
      <c r="H13" s="86">
        <v>0.186</v>
      </c>
      <c r="I13" s="86">
        <v>0.19020000000000001</v>
      </c>
      <c r="J13" s="86">
        <v>0.20039999999999999</v>
      </c>
      <c r="K13" s="86">
        <v>0.2019</v>
      </c>
      <c r="L13" s="86">
        <v>0.20499999999999999</v>
      </c>
      <c r="M13" s="86">
        <v>0.20250000000000001</v>
      </c>
      <c r="N13" s="86">
        <v>0.2</v>
      </c>
      <c r="O13" s="86">
        <v>0.2</v>
      </c>
      <c r="P13" s="86">
        <v>0.2</v>
      </c>
      <c r="Q13" s="86">
        <v>0.2</v>
      </c>
    </row>
    <row r="14" spans="1:28" ht="17.100000000000001" customHeight="1" x14ac:dyDescent="0.25">
      <c r="A14" s="5"/>
      <c r="B14" s="4" t="s">
        <v>16</v>
      </c>
      <c r="C14" s="84">
        <v>322.282554</v>
      </c>
      <c r="D14" s="84">
        <v>374.01847200000003</v>
      </c>
      <c r="E14" s="84">
        <v>332.31805200000002</v>
      </c>
      <c r="F14" s="84">
        <v>152.91515699999999</v>
      </c>
      <c r="G14" s="74">
        <v>964.35210000000006</v>
      </c>
      <c r="H14" s="74">
        <v>1031.772868</v>
      </c>
      <c r="I14" s="74">
        <v>1200.8926799999999</v>
      </c>
      <c r="J14" s="74">
        <v>1443.0693149999997</v>
      </c>
      <c r="K14" s="74">
        <v>1608.7563700000001</v>
      </c>
      <c r="L14" s="74">
        <f t="shared" ref="L14:Q14" si="4">L11*L13</f>
        <v>2155.2574549999999</v>
      </c>
      <c r="M14" s="74">
        <f t="shared" si="4"/>
        <v>2235.4225188750006</v>
      </c>
      <c r="N14" s="74">
        <f t="shared" si="4"/>
        <v>2296.1376984000008</v>
      </c>
      <c r="O14" s="74">
        <f t="shared" si="4"/>
        <v>2365.0218293520006</v>
      </c>
      <c r="P14" s="74">
        <f t="shared" si="4"/>
        <v>2412.3222659390408</v>
      </c>
      <c r="Q14" s="74">
        <f t="shared" si="4"/>
        <v>2448.5070999281265</v>
      </c>
    </row>
    <row r="15" spans="1:28" x14ac:dyDescent="0.25">
      <c r="A15" s="102">
        <v>0.45</v>
      </c>
      <c r="B15" s="4" t="s">
        <v>39</v>
      </c>
      <c r="C15" s="84">
        <v>322.65600000000001</v>
      </c>
      <c r="D15" s="84">
        <v>373.98599999999999</v>
      </c>
      <c r="E15" s="84">
        <v>332.33100000000002</v>
      </c>
      <c r="F15" s="84">
        <v>153.185</v>
      </c>
      <c r="G15" s="74">
        <v>524.39066000000003</v>
      </c>
      <c r="H15" s="74">
        <v>553.31668000000002</v>
      </c>
      <c r="I15" s="74">
        <v>761.73411599999997</v>
      </c>
      <c r="J15" s="74">
        <f t="shared" ref="J15:Q15" si="5">J14*(1-$A$15)</f>
        <v>793.68812324999988</v>
      </c>
      <c r="K15" s="74">
        <f t="shared" si="5"/>
        <v>884.81600350000008</v>
      </c>
      <c r="L15" s="74">
        <f t="shared" si="5"/>
        <v>1185.39160025</v>
      </c>
      <c r="M15" s="74">
        <f t="shared" si="5"/>
        <v>1229.4823853812504</v>
      </c>
      <c r="N15" s="74">
        <f t="shared" si="5"/>
        <v>1262.8757341200005</v>
      </c>
      <c r="O15" s="74">
        <f t="shared" si="5"/>
        <v>1300.7620061436005</v>
      </c>
      <c r="P15" s="74">
        <f t="shared" si="5"/>
        <v>1326.7772462664725</v>
      </c>
      <c r="Q15" s="74">
        <f t="shared" si="5"/>
        <v>1346.6789049604697</v>
      </c>
    </row>
    <row r="16" spans="1:28" ht="32.25" hidden="1" thickBot="1" x14ac:dyDescent="0.3">
      <c r="A16" s="13" t="s">
        <v>6</v>
      </c>
      <c r="B16" s="14"/>
      <c r="C16" s="15">
        <f t="shared" ref="C16:J16" si="6">C15/C14</f>
        <v>1.0011587533838398</v>
      </c>
      <c r="D16" s="15">
        <f t="shared" si="6"/>
        <v>0.99991318075862301</v>
      </c>
      <c r="E16" s="15">
        <f t="shared" si="6"/>
        <v>1.0000389626742274</v>
      </c>
      <c r="F16" s="15">
        <f t="shared" si="6"/>
        <v>1.0017646582934876</v>
      </c>
      <c r="G16" s="15">
        <f t="shared" si="6"/>
        <v>0.54377510040160637</v>
      </c>
      <c r="H16" s="15">
        <f t="shared" si="6"/>
        <v>0.5362776025236593</v>
      </c>
      <c r="I16" s="15">
        <f t="shared" si="6"/>
        <v>0.63430656934306573</v>
      </c>
      <c r="J16" s="15">
        <f t="shared" si="6"/>
        <v>0.55000000000000004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6.4423039878129691</v>
      </c>
      <c r="H17" s="74">
        <f t="shared" ref="H17:P17" si="7">H15/H18</f>
        <v>6.7976692302022172</v>
      </c>
      <c r="I17" s="74">
        <f t="shared" si="7"/>
        <v>9.3581429027740235</v>
      </c>
      <c r="J17" s="74">
        <f t="shared" si="7"/>
        <v>9.7507079197277555</v>
      </c>
      <c r="K17" s="74">
        <f t="shared" si="7"/>
        <v>10.870242555099635</v>
      </c>
      <c r="L17" s="74">
        <f t="shared" si="7"/>
        <v>14.56290818263348</v>
      </c>
      <c r="M17" s="74">
        <f t="shared" si="7"/>
        <v>15.104577328450951</v>
      </c>
      <c r="N17" s="74">
        <f t="shared" si="7"/>
        <v>15.514825107742212</v>
      </c>
      <c r="O17" s="74">
        <f t="shared" si="7"/>
        <v>15.980269860974477</v>
      </c>
      <c r="P17" s="74">
        <f t="shared" si="7"/>
        <v>16.299875258193968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81.397999999999996</v>
      </c>
      <c r="H18" s="74">
        <f>G18*1</f>
        <v>81.397999999999996</v>
      </c>
      <c r="I18" s="74">
        <f t="shared" ref="I18:P18" si="8">H18*1</f>
        <v>81.397999999999996</v>
      </c>
      <c r="J18" s="74">
        <f t="shared" si="8"/>
        <v>81.397999999999996</v>
      </c>
      <c r="K18" s="74">
        <f t="shared" si="8"/>
        <v>81.397999999999996</v>
      </c>
      <c r="L18" s="74">
        <f t="shared" si="8"/>
        <v>81.397999999999996</v>
      </c>
      <c r="M18" s="74">
        <f t="shared" si="8"/>
        <v>81.397999999999996</v>
      </c>
      <c r="N18" s="74">
        <f t="shared" si="8"/>
        <v>81.397999999999996</v>
      </c>
      <c r="O18" s="74">
        <f t="shared" si="8"/>
        <v>81.397999999999996</v>
      </c>
      <c r="P18" s="74">
        <f t="shared" si="8"/>
        <v>81.397999999999996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477.04403911758016</v>
      </c>
      <c r="H19" s="53">
        <f>H15/(1+$C$55)^2</f>
        <v>457.91072323848067</v>
      </c>
      <c r="I19" s="53">
        <f>I15/(1+$C$55)^3</f>
        <v>573.47433177947073</v>
      </c>
      <c r="J19" s="53">
        <f>J15/(1+$C$55)^4</f>
        <v>543.58064471397745</v>
      </c>
      <c r="K19" s="53">
        <f>K15/(1+$C$55)^5</f>
        <v>551.27791908729569</v>
      </c>
      <c r="L19" s="53">
        <f>L15/(1+$C$55)^6</f>
        <v>671.86651933497603</v>
      </c>
      <c r="M19" s="53">
        <f>M15/(1+$C$55)^7</f>
        <v>633.93830016518723</v>
      </c>
      <c r="N19" s="53">
        <f>N15/(1+$C$55)^8</f>
        <v>592.36422784045885</v>
      </c>
      <c r="O19" s="53">
        <f>O15/(1+$C$55)^9</f>
        <v>555.04676340748017</v>
      </c>
      <c r="P19" s="53">
        <f>P15/(1+$C$55)^10</f>
        <v>515.03088348931522</v>
      </c>
      <c r="Q19" s="54">
        <f>(Q15/(C55-Q12))/(1+C55)^10</f>
        <v>6204.8231067258748</v>
      </c>
    </row>
    <row r="20" spans="1:18" x14ac:dyDescent="0.25">
      <c r="A20" s="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92" t="s">
        <v>25</v>
      </c>
      <c r="H23" s="93"/>
      <c r="I23" s="94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95"/>
      <c r="H24" s="6"/>
      <c r="I24" s="96"/>
      <c r="J24" s="26"/>
    </row>
    <row r="25" spans="1:18" x14ac:dyDescent="0.25">
      <c r="A25" s="35"/>
      <c r="B25" s="36"/>
      <c r="C25" s="36"/>
      <c r="D25" s="38"/>
      <c r="F25" s="36"/>
      <c r="G25" s="95" t="s">
        <v>27</v>
      </c>
      <c r="H25" s="6"/>
      <c r="I25" s="97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95"/>
      <c r="H26" s="6"/>
      <c r="I26" s="96"/>
      <c r="J26" s="26"/>
    </row>
    <row r="27" spans="1:18" x14ac:dyDescent="0.25">
      <c r="A27" s="35"/>
      <c r="B27" s="36"/>
      <c r="C27" s="36"/>
      <c r="D27" s="38"/>
      <c r="F27" s="36"/>
      <c r="G27" s="95" t="s">
        <v>28</v>
      </c>
      <c r="H27" s="6"/>
      <c r="I27" s="98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95"/>
      <c r="H28" s="6"/>
      <c r="I28" s="96"/>
      <c r="J28" s="26"/>
    </row>
    <row r="29" spans="1:18" x14ac:dyDescent="0.25">
      <c r="A29" s="35"/>
      <c r="B29" s="36"/>
      <c r="C29" s="36"/>
      <c r="D29" s="39"/>
      <c r="F29" s="36"/>
      <c r="G29" s="95" t="s">
        <v>35</v>
      </c>
      <c r="H29" s="6"/>
      <c r="I29" s="96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95"/>
      <c r="H30" s="6"/>
      <c r="I30" s="96"/>
      <c r="J30" s="26"/>
    </row>
    <row r="31" spans="1:18" x14ac:dyDescent="0.25">
      <c r="A31" s="35"/>
      <c r="B31" s="36"/>
      <c r="C31" s="36"/>
      <c r="D31" s="37"/>
      <c r="F31" s="36"/>
      <c r="G31" s="95" t="s">
        <v>31</v>
      </c>
      <c r="H31" s="6"/>
      <c r="I31" s="98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95"/>
      <c r="H32" s="6"/>
      <c r="I32" s="6"/>
      <c r="J32" s="26"/>
    </row>
    <row r="33" spans="1:10" x14ac:dyDescent="0.25">
      <c r="A33" s="25"/>
      <c r="G33" s="99" t="s">
        <v>34</v>
      </c>
      <c r="H33" s="100"/>
      <c r="I33" s="101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95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44961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19862.739959999999</v>
      </c>
      <c r="D49" s="47">
        <f>SUM(G19:Q19)</f>
        <v>11776.357458900096</v>
      </c>
      <c r="E49" s="46" t="s">
        <v>46</v>
      </c>
    </row>
    <row r="50" spans="1:17" x14ac:dyDescent="0.25">
      <c r="A50" s="45"/>
      <c r="B50" s="46" t="s">
        <v>11</v>
      </c>
      <c r="C50" s="56">
        <v>81.397999999999996</v>
      </c>
      <c r="D50" s="56">
        <f>C50</f>
        <v>81.397999999999996</v>
      </c>
      <c r="E50" s="46"/>
    </row>
    <row r="51" spans="1:17" x14ac:dyDescent="0.25">
      <c r="A51" s="45"/>
      <c r="B51" s="46" t="s">
        <v>13</v>
      </c>
      <c r="C51" s="89">
        <v>244.02</v>
      </c>
      <c r="D51" s="56">
        <f>D49/(D50)</f>
        <v>144.67625075431948</v>
      </c>
      <c r="E51" s="46" t="s">
        <v>46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0.68666245308208951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10046172.836329365</v>
      </c>
      <c r="E57" s="46"/>
      <c r="F57" s="1" t="s">
        <v>23</v>
      </c>
      <c r="H57" s="1">
        <f>G15/(1+$B$57)</f>
        <v>473.2767689530686</v>
      </c>
      <c r="I57" s="1">
        <f>H15/(1+$B$57)^2</f>
        <v>450.70693609977963</v>
      </c>
      <c r="J57" s="1">
        <f>I15/(1+$B$57)^3</f>
        <v>559.99496951928836</v>
      </c>
      <c r="K57" s="1">
        <f>J15/(1+$B$57)^4</f>
        <v>526.61210764479006</v>
      </c>
      <c r="L57" s="1">
        <f>K15/(1+$B$57)^5</f>
        <v>529.85149868100621</v>
      </c>
      <c r="M57" s="1">
        <f>L15/(1+$B$57)^6</f>
        <v>640.65361802841028</v>
      </c>
      <c r="N57" s="1">
        <f>M15/(1+$B$57)^7</f>
        <v>599.71372516197403</v>
      </c>
      <c r="O57" s="1">
        <f>N15/(1+$B$57)^8</f>
        <v>555.95870585947569</v>
      </c>
      <c r="P57" s="1">
        <f>O15/(1+$B$57)^9</f>
        <v>516.82081862388065</v>
      </c>
      <c r="Q57" s="1">
        <f>(Q15/(B57-Q12))/(1+B57)^10</f>
        <v>5192.583687757693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41</v>
      </c>
      <c r="B59" s="23"/>
      <c r="C59" s="69">
        <v>16</v>
      </c>
      <c r="D59" s="23"/>
      <c r="E59" s="24"/>
    </row>
    <row r="60" spans="1:17" x14ac:dyDescent="0.25">
      <c r="A60" s="25" t="s">
        <v>21</v>
      </c>
      <c r="C60" s="70"/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260.79800413110348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0</v>
      </c>
    </row>
    <row r="67" spans="1:5" x14ac:dyDescent="0.25">
      <c r="A67" s="25"/>
      <c r="E67" s="61"/>
    </row>
    <row r="68" spans="1:5" x14ac:dyDescent="0.25">
      <c r="A68" s="62" t="s">
        <v>48</v>
      </c>
      <c r="E68" s="63">
        <f>(E66*0.25)*-1</f>
        <v>0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42</v>
      </c>
      <c r="E70" s="60">
        <f>SUM(E62:E68)</f>
        <v>260.79800413110348</v>
      </c>
    </row>
    <row r="71" spans="1:5" x14ac:dyDescent="0.25">
      <c r="A71" s="25"/>
      <c r="E71" s="60"/>
    </row>
    <row r="72" spans="1:5" x14ac:dyDescent="0.25">
      <c r="A72" s="25" t="s">
        <v>43</v>
      </c>
      <c r="E72" s="64">
        <f>E70/C51-1</f>
        <v>6.8756676219586366E-2</v>
      </c>
    </row>
    <row r="73" spans="1:5" x14ac:dyDescent="0.25">
      <c r="A73" s="25"/>
      <c r="E73" s="26"/>
    </row>
    <row r="74" spans="1:5" ht="16.5" thickBot="1" x14ac:dyDescent="0.3">
      <c r="A74" s="65" t="s">
        <v>44</v>
      </c>
      <c r="B74" s="66"/>
      <c r="C74" s="66"/>
      <c r="D74" s="66"/>
      <c r="E74" s="104">
        <f>(E70/C51)^(1/9)-1</f>
        <v>7.415805003165632E-3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K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zoomScaleNormal="100" workbookViewId="0">
      <selection activeCell="C60" sqref="C60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47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45</v>
      </c>
    </row>
    <row r="11" spans="1:28" x14ac:dyDescent="0.25">
      <c r="A11" s="5"/>
      <c r="B11" s="4" t="s">
        <v>4</v>
      </c>
      <c r="C11" s="84">
        <v>2592.7800000000002</v>
      </c>
      <c r="D11" s="84">
        <v>2805.84</v>
      </c>
      <c r="E11" s="84">
        <v>2797.29</v>
      </c>
      <c r="F11" s="84">
        <v>5480.83</v>
      </c>
      <c r="G11" s="74">
        <v>7745.8</v>
      </c>
      <c r="H11" s="74">
        <v>8137.01</v>
      </c>
      <c r="I11" s="74">
        <v>8765.64</v>
      </c>
      <c r="J11" s="74">
        <v>9525.2099999999991</v>
      </c>
      <c r="K11" s="74">
        <v>9918.35</v>
      </c>
      <c r="L11" s="74">
        <f t="shared" ref="L11:Q11" si="0">K11*(1+L12)</f>
        <v>10711.818000000001</v>
      </c>
      <c r="M11" s="74">
        <f t="shared" si="0"/>
        <v>11568.763440000002</v>
      </c>
      <c r="N11" s="74">
        <f t="shared" si="0"/>
        <v>12378.576880800003</v>
      </c>
      <c r="O11" s="74">
        <f t="shared" si="0"/>
        <v>13245.077262456003</v>
      </c>
      <c r="P11" s="74">
        <f t="shared" si="0"/>
        <v>13907.331125578803</v>
      </c>
      <c r="Q11" s="74">
        <f t="shared" si="0"/>
        <v>14185.477748090379</v>
      </c>
    </row>
    <row r="12" spans="1:28" x14ac:dyDescent="0.25">
      <c r="A12" s="5"/>
      <c r="B12" s="4" t="s">
        <v>1</v>
      </c>
      <c r="C12" s="91"/>
      <c r="D12" s="91">
        <f t="shared" ref="D12:I12" si="1">D11/C11-1</f>
        <v>8.2174345683011962E-2</v>
      </c>
      <c r="E12" s="91">
        <f t="shared" si="1"/>
        <v>-3.0472158070311561E-3</v>
      </c>
      <c r="F12" s="91">
        <f t="shared" si="1"/>
        <v>0.95933564271133842</v>
      </c>
      <c r="G12" s="87">
        <f t="shared" si="1"/>
        <v>0.41325310217613032</v>
      </c>
      <c r="H12" s="87">
        <f t="shared" si="1"/>
        <v>5.0506080714709967E-2</v>
      </c>
      <c r="I12" s="87">
        <f t="shared" si="1"/>
        <v>7.7255650417044963E-2</v>
      </c>
      <c r="J12" s="87">
        <f t="shared" ref="J12" si="2">J11/I11-1</f>
        <v>8.6653113748682342E-2</v>
      </c>
      <c r="K12" s="87">
        <f t="shared" ref="K12" si="3">K11/J11-1</f>
        <v>4.1273630712603815E-2</v>
      </c>
      <c r="L12" s="73">
        <v>0.08</v>
      </c>
      <c r="M12" s="73">
        <v>0.08</v>
      </c>
      <c r="N12" s="73">
        <v>7.0000000000000007E-2</v>
      </c>
      <c r="O12" s="73">
        <v>7.0000000000000007E-2</v>
      </c>
      <c r="P12" s="73">
        <v>0.05</v>
      </c>
      <c r="Q12" s="12">
        <v>0.02</v>
      </c>
    </row>
    <row r="13" spans="1:28" ht="15.95" customHeight="1" x14ac:dyDescent="0.25">
      <c r="A13" s="5"/>
      <c r="B13" s="4" t="s">
        <v>15</v>
      </c>
      <c r="C13" s="90">
        <v>0.14383246326629753</v>
      </c>
      <c r="D13" s="90">
        <v>0.15446574090673057</v>
      </c>
      <c r="E13" s="90">
        <v>0.13995698691017872</v>
      </c>
      <c r="F13" s="90">
        <v>6.9064224990904657E-2</v>
      </c>
      <c r="G13" s="86">
        <v>0.17649999999999999</v>
      </c>
      <c r="H13" s="86">
        <v>0.186</v>
      </c>
      <c r="I13" s="86">
        <v>0.19020000000000001</v>
      </c>
      <c r="J13" s="86">
        <v>0.20039999999999999</v>
      </c>
      <c r="K13" s="86">
        <v>0.2019</v>
      </c>
      <c r="L13" s="86">
        <v>0.20499999999999999</v>
      </c>
      <c r="M13" s="86">
        <v>0.20499999999999999</v>
      </c>
      <c r="N13" s="86">
        <v>0.21</v>
      </c>
      <c r="O13" s="86">
        <v>0.215</v>
      </c>
      <c r="P13" s="86">
        <v>0.22</v>
      </c>
      <c r="Q13" s="86">
        <v>0.22</v>
      </c>
    </row>
    <row r="14" spans="1:28" ht="17.100000000000001" customHeight="1" x14ac:dyDescent="0.25">
      <c r="A14" s="5"/>
      <c r="B14" s="4" t="s">
        <v>16</v>
      </c>
      <c r="C14" s="84">
        <f>C11*C13</f>
        <v>372.92593410759093</v>
      </c>
      <c r="D14" s="84">
        <f t="shared" ref="D14:J14" si="4">D11*D13</f>
        <v>433.40615446574094</v>
      </c>
      <c r="E14" s="84">
        <f t="shared" si="4"/>
        <v>391.50027991397383</v>
      </c>
      <c r="F14" s="84">
        <f t="shared" si="4"/>
        <v>378.52927625689995</v>
      </c>
      <c r="G14" s="74">
        <f t="shared" si="4"/>
        <v>1367.1336999999999</v>
      </c>
      <c r="H14" s="74">
        <f t="shared" si="4"/>
        <v>1513.48386</v>
      </c>
      <c r="I14" s="74">
        <f t="shared" si="4"/>
        <v>1667.2247279999999</v>
      </c>
      <c r="J14" s="74">
        <f t="shared" si="4"/>
        <v>1908.8520839999999</v>
      </c>
      <c r="K14" s="74">
        <f t="shared" ref="K14:Q14" si="5">K11*K13</f>
        <v>2002.5148650000001</v>
      </c>
      <c r="L14" s="74">
        <f t="shared" si="5"/>
        <v>2195.9226899999999</v>
      </c>
      <c r="M14" s="74">
        <f t="shared" si="5"/>
        <v>2371.5965052000001</v>
      </c>
      <c r="N14" s="74">
        <f t="shared" si="5"/>
        <v>2599.5011449680005</v>
      </c>
      <c r="O14" s="74">
        <f>O11*O13</f>
        <v>2847.6916114280407</v>
      </c>
      <c r="P14" s="74">
        <f t="shared" si="5"/>
        <v>3059.6128476273366</v>
      </c>
      <c r="Q14" s="74">
        <f t="shared" si="5"/>
        <v>3120.8051045798834</v>
      </c>
    </row>
    <row r="15" spans="1:28" x14ac:dyDescent="0.25">
      <c r="A15" s="102">
        <v>0.4</v>
      </c>
      <c r="B15" s="4" t="s">
        <v>39</v>
      </c>
      <c r="C15" s="84">
        <v>322.65600000000001</v>
      </c>
      <c r="D15" s="84">
        <v>373.98599999999999</v>
      </c>
      <c r="E15" s="84">
        <v>332.33100000000002</v>
      </c>
      <c r="F15" s="84">
        <v>153.185</v>
      </c>
      <c r="G15" s="74">
        <v>524.39066000000003</v>
      </c>
      <c r="H15" s="74">
        <v>553.31668000000002</v>
      </c>
      <c r="I15" s="74">
        <v>761.73411599999997</v>
      </c>
      <c r="J15" s="74">
        <f t="shared" ref="J15:Q15" si="6">J14*(1-$A$15)</f>
        <v>1145.3112503999998</v>
      </c>
      <c r="K15" s="74">
        <f t="shared" si="6"/>
        <v>1201.5089190000001</v>
      </c>
      <c r="L15" s="74">
        <f t="shared" si="6"/>
        <v>1317.5536139999999</v>
      </c>
      <c r="M15" s="74">
        <f t="shared" si="6"/>
        <v>1422.9579031200001</v>
      </c>
      <c r="N15" s="74">
        <f t="shared" si="6"/>
        <v>1559.7006869808004</v>
      </c>
      <c r="O15" s="74">
        <f>O14*(1-$A$15)</f>
        <v>1708.6149668568244</v>
      </c>
      <c r="P15" s="74">
        <f t="shared" si="6"/>
        <v>1835.7677085764019</v>
      </c>
      <c r="Q15" s="74">
        <f t="shared" si="6"/>
        <v>1872.48306274793</v>
      </c>
    </row>
    <row r="16" spans="1:28" ht="32.25" hidden="1" thickBot="1" x14ac:dyDescent="0.3">
      <c r="A16" s="13" t="s">
        <v>6</v>
      </c>
      <c r="B16" s="14"/>
      <c r="C16" s="15">
        <f t="shared" ref="C16:J16" si="7">C15/C14</f>
        <v>0.86520129197266338</v>
      </c>
      <c r="D16" s="15">
        <f t="shared" si="7"/>
        <v>0.86289960616967221</v>
      </c>
      <c r="E16" s="15">
        <f t="shared" si="7"/>
        <v>0.8488652934629437</v>
      </c>
      <c r="F16" s="15">
        <f t="shared" si="7"/>
        <v>0.40468468255553508</v>
      </c>
      <c r="G16" s="15">
        <f t="shared" si="7"/>
        <v>0.38356940509915022</v>
      </c>
      <c r="H16" s="15">
        <f t="shared" si="7"/>
        <v>0.36559139784946237</v>
      </c>
      <c r="I16" s="15">
        <f t="shared" si="7"/>
        <v>0.45688748685594111</v>
      </c>
      <c r="J16" s="15">
        <f t="shared" si="7"/>
        <v>0.6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6.4423039878129691</v>
      </c>
      <c r="H17" s="74">
        <f t="shared" ref="H17:O17" si="8">H15/H18</f>
        <v>6.7976692302022172</v>
      </c>
      <c r="I17" s="74">
        <f t="shared" si="8"/>
        <v>9.3581429027740235</v>
      </c>
      <c r="J17" s="74">
        <f t="shared" si="8"/>
        <v>14.070508494066193</v>
      </c>
      <c r="K17" s="74">
        <f t="shared" si="8"/>
        <v>14.760914506498933</v>
      </c>
      <c r="L17" s="74">
        <f t="shared" si="8"/>
        <v>16.186560038330178</v>
      </c>
      <c r="M17" s="74">
        <f t="shared" si="8"/>
        <v>17.481484841396597</v>
      </c>
      <c r="N17" s="74">
        <f t="shared" si="8"/>
        <v>19.161412896886908</v>
      </c>
      <c r="O17" s="74">
        <f t="shared" si="8"/>
        <v>20.990871604423013</v>
      </c>
      <c r="P17" s="74">
        <f>P15/P18</f>
        <v>22.552982979635889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81.397999999999996</v>
      </c>
      <c r="H18" s="74">
        <f>G18*1</f>
        <v>81.397999999999996</v>
      </c>
      <c r="I18" s="74">
        <f t="shared" ref="I18:P18" si="9">H18*1</f>
        <v>81.397999999999996</v>
      </c>
      <c r="J18" s="74">
        <f t="shared" si="9"/>
        <v>81.397999999999996</v>
      </c>
      <c r="K18" s="74">
        <f t="shared" si="9"/>
        <v>81.397999999999996</v>
      </c>
      <c r="L18" s="74">
        <f t="shared" si="9"/>
        <v>81.397999999999996</v>
      </c>
      <c r="M18" s="74">
        <f t="shared" si="9"/>
        <v>81.397999999999996</v>
      </c>
      <c r="N18" s="74">
        <f t="shared" si="9"/>
        <v>81.397999999999996</v>
      </c>
      <c r="O18" s="74">
        <f t="shared" si="9"/>
        <v>81.397999999999996</v>
      </c>
      <c r="P18" s="74">
        <f t="shared" si="9"/>
        <v>81.397999999999996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477.04403911758016</v>
      </c>
      <c r="H19" s="53">
        <f>H15/(1+$C$55)^2</f>
        <v>457.91072323848067</v>
      </c>
      <c r="I19" s="53">
        <f>I15/(1+$C$55)^3</f>
        <v>573.47433177947073</v>
      </c>
      <c r="J19" s="53">
        <f>J15/(1+$C$55)^4</f>
        <v>784.400080652969</v>
      </c>
      <c r="K19" s="53">
        <f>K15/(1+$C$55)^5</f>
        <v>748.59104493033294</v>
      </c>
      <c r="L19" s="53">
        <f>L15/(1+$C$55)^6</f>
        <v>746.77445030714307</v>
      </c>
      <c r="M19" s="53">
        <f>M15/(1+$C$55)^7</f>
        <v>733.69698097040225</v>
      </c>
      <c r="N19" s="53">
        <f>N15/(1+$C$55)^8</f>
        <v>731.59287817769052</v>
      </c>
      <c r="O19" s="53">
        <f>O15/(1+$C$55)^9</f>
        <v>729.08126373946607</v>
      </c>
      <c r="P19" s="53">
        <f>P15/(1+$C$55)^10</f>
        <v>712.61175716557966</v>
      </c>
      <c r="Q19" s="54">
        <f>(Q15/(C55-Q12))/(1+C55)^10</f>
        <v>9171.7853919102999</v>
      </c>
    </row>
    <row r="20" spans="1:18" x14ac:dyDescent="0.2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2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1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1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1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1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3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8" t="s">
        <v>34</v>
      </c>
      <c r="H33" s="22"/>
      <c r="I33" s="79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44961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19862.739959999999</v>
      </c>
      <c r="D49" s="47">
        <f>SUM(G19:Q19)</f>
        <v>15866.962941989414</v>
      </c>
      <c r="E49" s="46" t="s">
        <v>46</v>
      </c>
    </row>
    <row r="50" spans="1:17" x14ac:dyDescent="0.25">
      <c r="A50" s="45"/>
      <c r="B50" s="46" t="s">
        <v>11</v>
      </c>
      <c r="C50" s="56">
        <v>81.397999999999996</v>
      </c>
      <c r="D50" s="56">
        <f>C50</f>
        <v>81.397999999999996</v>
      </c>
      <c r="E50" s="46"/>
    </row>
    <row r="51" spans="1:17" x14ac:dyDescent="0.25">
      <c r="A51" s="45"/>
      <c r="B51" s="46" t="s">
        <v>13</v>
      </c>
      <c r="C51" s="89">
        <v>244.02</v>
      </c>
      <c r="D51" s="56">
        <f>D49/(D50)</f>
        <v>194.93062411839867</v>
      </c>
      <c r="E51" s="46" t="s">
        <v>46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0.25182998363451103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13365286.813401686</v>
      </c>
      <c r="E57" s="46"/>
      <c r="F57" s="1" t="s">
        <v>23</v>
      </c>
      <c r="H57" s="1">
        <f>G15/(1+$B$57)</f>
        <v>473.2767689530686</v>
      </c>
      <c r="I57" s="1">
        <f>H15/(1+$B$57)^2</f>
        <v>450.70693609977963</v>
      </c>
      <c r="J57" s="1">
        <f>I15/(1+$B$57)^3</f>
        <v>559.99496951928836</v>
      </c>
      <c r="K57" s="1">
        <f>J15/(1+$B$57)^4</f>
        <v>759.91406928544325</v>
      </c>
      <c r="L57" s="1">
        <f>K15/(1+$B$57)^5</f>
        <v>719.4956905079822</v>
      </c>
      <c r="M57" s="1">
        <f>L15/(1+$B$57)^6</f>
        <v>712.08155142780413</v>
      </c>
      <c r="N57" s="1">
        <f>M15/(1+$B$57)^7</f>
        <v>694.08671077800409</v>
      </c>
      <c r="O57" s="1">
        <f>N15/(1+$B$57)^8</f>
        <v>686.63064150663683</v>
      </c>
      <c r="P57" s="1">
        <f>O15/(1+$B$57)^9</f>
        <v>678.86960236634764</v>
      </c>
      <c r="Q57" s="1">
        <f>(Q15/(B57-Q12))/(1+B57)^10</f>
        <v>7630.2298729573322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41</v>
      </c>
      <c r="B59" s="23"/>
      <c r="C59" s="69">
        <v>24</v>
      </c>
      <c r="D59" s="23"/>
      <c r="E59" s="24"/>
    </row>
    <row r="60" spans="1:17" x14ac:dyDescent="0.25">
      <c r="A60" s="25" t="s">
        <v>21</v>
      </c>
      <c r="C60" s="70" t="s">
        <v>40</v>
      </c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541.27159151126136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0</v>
      </c>
    </row>
    <row r="67" spans="1:5" x14ac:dyDescent="0.25">
      <c r="A67" s="25"/>
      <c r="E67" s="61"/>
    </row>
    <row r="68" spans="1:5" x14ac:dyDescent="0.25">
      <c r="A68" s="62" t="s">
        <v>48</v>
      </c>
      <c r="E68" s="63">
        <f>(E66*0.25)*-1</f>
        <v>0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42</v>
      </c>
      <c r="E70" s="60">
        <f>SUM(E62:E68)</f>
        <v>541.27159151126136</v>
      </c>
    </row>
    <row r="71" spans="1:5" x14ac:dyDescent="0.25">
      <c r="A71" s="25"/>
      <c r="E71" s="60"/>
    </row>
    <row r="72" spans="1:5" x14ac:dyDescent="0.25">
      <c r="A72" s="25" t="s">
        <v>43</v>
      </c>
      <c r="E72" s="64">
        <f>E70/C51-1</f>
        <v>1.2181443796052016</v>
      </c>
    </row>
    <row r="73" spans="1:5" x14ac:dyDescent="0.25">
      <c r="A73" s="25"/>
      <c r="E73" s="26"/>
    </row>
    <row r="74" spans="1:5" ht="16.5" thickBot="1" x14ac:dyDescent="0.3">
      <c r="A74" s="65" t="s">
        <v>44</v>
      </c>
      <c r="B74" s="66"/>
      <c r="C74" s="66"/>
      <c r="D74" s="66"/>
      <c r="E74" s="104">
        <f>(E70/C51)^(1/9)-1</f>
        <v>9.2555008689793938E-2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zoomScaleNormal="100" workbookViewId="0">
      <selection activeCell="C60" sqref="C60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47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5">
        <v>2022</v>
      </c>
      <c r="H10" s="55">
        <v>2023</v>
      </c>
      <c r="I10" s="55">
        <v>2024</v>
      </c>
      <c r="J10" s="55">
        <v>2025</v>
      </c>
      <c r="K10" s="55">
        <v>2026</v>
      </c>
      <c r="L10" s="55">
        <v>2027</v>
      </c>
      <c r="M10" s="55">
        <v>2028</v>
      </c>
      <c r="N10" s="55">
        <v>2029</v>
      </c>
      <c r="O10" s="55">
        <v>2030</v>
      </c>
      <c r="P10" s="55">
        <v>2031</v>
      </c>
      <c r="Q10" s="55" t="s">
        <v>45</v>
      </c>
    </row>
    <row r="11" spans="1:28" x14ac:dyDescent="0.25">
      <c r="A11" s="5"/>
      <c r="B11" s="4" t="s">
        <v>4</v>
      </c>
      <c r="C11" s="84">
        <v>2592.7800000000002</v>
      </c>
      <c r="D11" s="84">
        <v>2805.84</v>
      </c>
      <c r="E11" s="84">
        <v>2797.29</v>
      </c>
      <c r="F11" s="84">
        <v>5480.83</v>
      </c>
      <c r="G11" s="74">
        <f t="shared" ref="G11" si="0">F11*(1+G12)</f>
        <v>6220.7420499999998</v>
      </c>
      <c r="H11" s="74">
        <f t="shared" ref="H11" si="1">G11*(1+H12)</f>
        <v>7060.5422267499998</v>
      </c>
      <c r="I11" s="74">
        <f t="shared" ref="I11" si="2">H11*(1+I12)</f>
        <v>8013.7154273612496</v>
      </c>
      <c r="J11" s="74">
        <f t="shared" ref="J11" si="3">I11*(1+J12)</f>
        <v>9095.5670100550178</v>
      </c>
      <c r="K11" s="74">
        <f t="shared" ref="K11" si="4">J11*(1+K12)</f>
        <v>10323.468556412445</v>
      </c>
      <c r="L11" s="74">
        <f t="shared" ref="L11" si="5">K11*(1+L12)</f>
        <v>11717.136811528126</v>
      </c>
      <c r="M11" s="74">
        <f t="shared" ref="M11:Q11" si="6">L11*(1+M12)</f>
        <v>13298.950281084422</v>
      </c>
      <c r="N11" s="74">
        <f t="shared" si="6"/>
        <v>15094.30856903082</v>
      </c>
      <c r="O11" s="74">
        <f t="shared" si="6"/>
        <v>17132.040225849982</v>
      </c>
      <c r="P11" s="74">
        <f t="shared" si="6"/>
        <v>18673.92384617648</v>
      </c>
      <c r="Q11" s="74">
        <f t="shared" si="6"/>
        <v>19047.40232310001</v>
      </c>
    </row>
    <row r="12" spans="1:28" x14ac:dyDescent="0.25">
      <c r="A12" s="5"/>
      <c r="B12" s="4" t="s">
        <v>1</v>
      </c>
      <c r="C12" s="88"/>
      <c r="D12" s="91">
        <f t="shared" ref="D12:F12" si="7">D11/C11-1</f>
        <v>8.2174345683011962E-2</v>
      </c>
      <c r="E12" s="91">
        <f t="shared" si="7"/>
        <v>-3.0472158070311561E-3</v>
      </c>
      <c r="F12" s="91">
        <f t="shared" si="7"/>
        <v>0.95933564271133842</v>
      </c>
      <c r="G12" s="87">
        <v>0.13500000000000001</v>
      </c>
      <c r="H12" s="87">
        <f>G12</f>
        <v>0.13500000000000001</v>
      </c>
      <c r="I12" s="87">
        <f t="shared" ref="I12:O12" si="8">H12</f>
        <v>0.13500000000000001</v>
      </c>
      <c r="J12" s="87">
        <f t="shared" si="8"/>
        <v>0.13500000000000001</v>
      </c>
      <c r="K12" s="87">
        <f t="shared" si="8"/>
        <v>0.13500000000000001</v>
      </c>
      <c r="L12" s="87">
        <f t="shared" si="8"/>
        <v>0.13500000000000001</v>
      </c>
      <c r="M12" s="87">
        <f t="shared" si="8"/>
        <v>0.13500000000000001</v>
      </c>
      <c r="N12" s="87">
        <f t="shared" si="8"/>
        <v>0.13500000000000001</v>
      </c>
      <c r="O12" s="87">
        <f t="shared" si="8"/>
        <v>0.13500000000000001</v>
      </c>
      <c r="P12" s="87">
        <v>0.09</v>
      </c>
      <c r="Q12" s="87">
        <v>0.02</v>
      </c>
    </row>
    <row r="13" spans="1:28" ht="15.95" customHeight="1" x14ac:dyDescent="0.25">
      <c r="A13" s="5"/>
      <c r="B13" s="4" t="s">
        <v>15</v>
      </c>
      <c r="C13" s="90">
        <v>0.14383246326629753</v>
      </c>
      <c r="D13" s="90">
        <v>0.15446574090673057</v>
      </c>
      <c r="E13" s="90">
        <v>0.13995698691017872</v>
      </c>
      <c r="F13" s="90">
        <v>6.9064224990904657E-2</v>
      </c>
      <c r="G13" s="86">
        <v>0.17649999999999999</v>
      </c>
      <c r="H13" s="86">
        <v>0.186</v>
      </c>
      <c r="I13" s="86">
        <v>0.19020000000000001</v>
      </c>
      <c r="J13" s="86">
        <v>0.20039999999999999</v>
      </c>
      <c r="K13" s="86">
        <v>0.2019</v>
      </c>
      <c r="L13" s="86">
        <v>0.20499999999999999</v>
      </c>
      <c r="M13" s="86">
        <v>0.20499999999999999</v>
      </c>
      <c r="N13" s="86">
        <v>0.21</v>
      </c>
      <c r="O13" s="86">
        <v>0.215</v>
      </c>
      <c r="P13" s="86">
        <v>0.22</v>
      </c>
      <c r="Q13" s="86">
        <v>0.22</v>
      </c>
    </row>
    <row r="14" spans="1:28" ht="17.100000000000001" customHeight="1" x14ac:dyDescent="0.25">
      <c r="A14" s="5"/>
      <c r="B14" s="4" t="s">
        <v>16</v>
      </c>
      <c r="C14" s="84">
        <f>C11*C13</f>
        <v>372.92593410759093</v>
      </c>
      <c r="D14" s="84">
        <f t="shared" ref="D14:Q14" si="9">D11*D13</f>
        <v>433.40615446574094</v>
      </c>
      <c r="E14" s="84">
        <f t="shared" si="9"/>
        <v>391.50027991397383</v>
      </c>
      <c r="F14" s="84">
        <f t="shared" si="9"/>
        <v>378.52927625689995</v>
      </c>
      <c r="G14" s="74">
        <f t="shared" si="9"/>
        <v>1097.9609718249999</v>
      </c>
      <c r="H14" s="74">
        <f t="shared" si="9"/>
        <v>1313.2608541755001</v>
      </c>
      <c r="I14" s="74">
        <f t="shared" si="9"/>
        <v>1524.2086742841097</v>
      </c>
      <c r="J14" s="74">
        <f t="shared" si="9"/>
        <v>1822.7516288150255</v>
      </c>
      <c r="K14" s="74">
        <f t="shared" si="9"/>
        <v>2084.3083015396724</v>
      </c>
      <c r="L14" s="74">
        <f t="shared" si="9"/>
        <v>2402.0130463632654</v>
      </c>
      <c r="M14" s="74">
        <f t="shared" si="9"/>
        <v>2726.2848076223063</v>
      </c>
      <c r="N14" s="74">
        <f t="shared" si="9"/>
        <v>3169.8047994964722</v>
      </c>
      <c r="O14" s="74">
        <f>O11*O13</f>
        <v>3683.3886485577459</v>
      </c>
      <c r="P14" s="74">
        <f t="shared" si="9"/>
        <v>4108.2632461588255</v>
      </c>
      <c r="Q14" s="74">
        <f t="shared" si="9"/>
        <v>4190.4285110820019</v>
      </c>
    </row>
    <row r="15" spans="1:28" x14ac:dyDescent="0.25">
      <c r="A15" s="102">
        <v>0.4</v>
      </c>
      <c r="B15" s="4" t="s">
        <v>39</v>
      </c>
      <c r="C15" s="84">
        <v>322.65600000000001</v>
      </c>
      <c r="D15" s="84">
        <v>373.98599999999999</v>
      </c>
      <c r="E15" s="84">
        <v>332.33100000000002</v>
      </c>
      <c r="F15" s="84">
        <v>153.185</v>
      </c>
      <c r="G15" s="74">
        <v>524.39066000000003</v>
      </c>
      <c r="H15" s="74">
        <v>553.31668000000002</v>
      </c>
      <c r="I15" s="74">
        <v>761.73411599999997</v>
      </c>
      <c r="J15" s="74">
        <f t="shared" ref="J15:Q15" si="10">J14*(1-$A$15)</f>
        <v>1093.6509772890151</v>
      </c>
      <c r="K15" s="74">
        <f t="shared" si="10"/>
        <v>1250.5849809238034</v>
      </c>
      <c r="L15" s="74">
        <f t="shared" si="10"/>
        <v>1441.2078278179592</v>
      </c>
      <c r="M15" s="74">
        <f t="shared" si="10"/>
        <v>1635.7708845733837</v>
      </c>
      <c r="N15" s="74">
        <f t="shared" si="10"/>
        <v>1901.8828796978833</v>
      </c>
      <c r="O15" s="74">
        <f>O14*(1-$A$15)</f>
        <v>2210.0331891346473</v>
      </c>
      <c r="P15" s="74">
        <f t="shared" si="10"/>
        <v>2464.9579476952954</v>
      </c>
      <c r="Q15" s="74">
        <f t="shared" si="10"/>
        <v>2514.257106649201</v>
      </c>
    </row>
    <row r="16" spans="1:28" ht="32.25" hidden="1" thickBot="1" x14ac:dyDescent="0.3">
      <c r="A16" s="13" t="s">
        <v>6</v>
      </c>
      <c r="B16" s="14"/>
      <c r="C16" s="15">
        <f t="shared" ref="C16:J16" si="11">C15/C14</f>
        <v>0.86520129197266338</v>
      </c>
      <c r="D16" s="15">
        <f t="shared" si="11"/>
        <v>0.86289960616967221</v>
      </c>
      <c r="E16" s="15">
        <f t="shared" si="11"/>
        <v>0.8488652934629437</v>
      </c>
      <c r="F16" s="15">
        <f t="shared" si="11"/>
        <v>0.40468468255553508</v>
      </c>
      <c r="G16" s="15">
        <f t="shared" si="11"/>
        <v>0.47760409837553025</v>
      </c>
      <c r="H16" s="15">
        <f t="shared" si="11"/>
        <v>0.4213303687844917</v>
      </c>
      <c r="I16" s="15">
        <f t="shared" si="11"/>
        <v>0.49975710599978784</v>
      </c>
      <c r="J16" s="15">
        <f t="shared" si="11"/>
        <v>0.6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6.4423039878129691</v>
      </c>
      <c r="H17" s="74">
        <f t="shared" ref="H17:O17" si="12">H15/H18</f>
        <v>6.7976692302022172</v>
      </c>
      <c r="I17" s="74">
        <f t="shared" si="12"/>
        <v>9.3581429027740235</v>
      </c>
      <c r="J17" s="74">
        <f t="shared" si="12"/>
        <v>13.435845810572928</v>
      </c>
      <c r="K17" s="74">
        <f t="shared" si="12"/>
        <v>15.363829343765246</v>
      </c>
      <c r="L17" s="74">
        <f t="shared" si="12"/>
        <v>17.705690899259924</v>
      </c>
      <c r="M17" s="74">
        <f t="shared" si="12"/>
        <v>20.095959170660013</v>
      </c>
      <c r="N17" s="74">
        <f t="shared" si="12"/>
        <v>23.365228625984464</v>
      </c>
      <c r="O17" s="74">
        <f t="shared" si="12"/>
        <v>27.150951978361231</v>
      </c>
      <c r="P17" s="74">
        <f>P15/P18</f>
        <v>30.282782718190809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81.397999999999996</v>
      </c>
      <c r="H18" s="74">
        <f>G18*1</f>
        <v>81.397999999999996</v>
      </c>
      <c r="I18" s="74">
        <f t="shared" ref="I18:P18" si="13">H18*1</f>
        <v>81.397999999999996</v>
      </c>
      <c r="J18" s="74">
        <f t="shared" si="13"/>
        <v>81.397999999999996</v>
      </c>
      <c r="K18" s="74">
        <f t="shared" si="13"/>
        <v>81.397999999999996</v>
      </c>
      <c r="L18" s="74">
        <f t="shared" si="13"/>
        <v>81.397999999999996</v>
      </c>
      <c r="M18" s="74">
        <f t="shared" si="13"/>
        <v>81.397999999999996</v>
      </c>
      <c r="N18" s="74">
        <f t="shared" si="13"/>
        <v>81.397999999999996</v>
      </c>
      <c r="O18" s="74">
        <f t="shared" si="13"/>
        <v>81.397999999999996</v>
      </c>
      <c r="P18" s="74">
        <f t="shared" si="13"/>
        <v>81.397999999999996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477.04403911758016</v>
      </c>
      <c r="H19" s="53">
        <f>H15/(1+$C$55)^2</f>
        <v>457.91072323848067</v>
      </c>
      <c r="I19" s="53">
        <f>I15/(1+$C$55)^3</f>
        <v>573.47433177947073</v>
      </c>
      <c r="J19" s="53">
        <f>J15/(1+$C$55)^4</f>
        <v>749.01902386106337</v>
      </c>
      <c r="K19" s="53">
        <f>K15/(1+$C$55)^5</f>
        <v>779.16751414804128</v>
      </c>
      <c r="L19" s="53">
        <f>L15/(1+$C$55)^6</f>
        <v>816.86025673723236</v>
      </c>
      <c r="M19" s="53">
        <f>M15/(1+$C$55)^7</f>
        <v>843.4263283118114</v>
      </c>
      <c r="N19" s="53">
        <f>N15/(1+$C$55)^8</f>
        <v>892.09678595991841</v>
      </c>
      <c r="O19" s="53">
        <f>O15/(1+$C$55)^9</f>
        <v>943.04089668873394</v>
      </c>
      <c r="P19" s="53">
        <f>P15/(1+$C$55)^10</f>
        <v>956.85200597006803</v>
      </c>
      <c r="Q19" s="54">
        <f>(Q15/(C55-Q12))/(1+C55)^10</f>
        <v>12315.319193557973</v>
      </c>
    </row>
    <row r="20" spans="1:18" x14ac:dyDescent="0.2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2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1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1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1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1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3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8" t="s">
        <v>34</v>
      </c>
      <c r="H33" s="22"/>
      <c r="I33" s="79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44961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19862.739959999999</v>
      </c>
      <c r="D49" s="47">
        <f>SUM(G19:Q19)</f>
        <v>19804.211099370375</v>
      </c>
      <c r="E49" s="46" t="s">
        <v>46</v>
      </c>
    </row>
    <row r="50" spans="1:17" x14ac:dyDescent="0.25">
      <c r="A50" s="45"/>
      <c r="B50" s="46" t="s">
        <v>11</v>
      </c>
      <c r="C50" s="56">
        <v>81.397999999999996</v>
      </c>
      <c r="D50" s="56">
        <f>C50</f>
        <v>81.397999999999996</v>
      </c>
      <c r="E50" s="46"/>
    </row>
    <row r="51" spans="1:17" x14ac:dyDescent="0.25">
      <c r="A51" s="45"/>
      <c r="B51" s="46" t="s">
        <v>13</v>
      </c>
      <c r="C51" s="89">
        <v>244.02</v>
      </c>
      <c r="D51" s="56">
        <f>D49/(D50)</f>
        <v>243.3009545611732</v>
      </c>
      <c r="E51" s="46" t="s">
        <v>46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2.9553745077726123E-3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16496079.134855179</v>
      </c>
      <c r="E57" s="46"/>
      <c r="F57" s="1" t="s">
        <v>23</v>
      </c>
      <c r="H57" s="1">
        <f>G15/(1+$B$57)</f>
        <v>473.2767689530686</v>
      </c>
      <c r="I57" s="1">
        <f>H15/(1+$B$57)^2</f>
        <v>450.70693609977963</v>
      </c>
      <c r="J57" s="1">
        <f>I15/(1+$B$57)^3</f>
        <v>559.99496951928836</v>
      </c>
      <c r="K57" s="1">
        <f>J15/(1+$B$57)^4</f>
        <v>725.63747561149216</v>
      </c>
      <c r="L57" s="1">
        <f>K15/(1+$B$57)^5</f>
        <v>748.88374955848633</v>
      </c>
      <c r="M57" s="1">
        <f>L15/(1+$B$57)^6</f>
        <v>778.91138171361592</v>
      </c>
      <c r="N57" s="1">
        <f>M15/(1+$B$57)^7</f>
        <v>797.89207422829782</v>
      </c>
      <c r="O57" s="1">
        <f>N15/(1+$B$57)^8</f>
        <v>837.27029978125711</v>
      </c>
      <c r="P57" s="1">
        <f>O15/(1+$B$57)^9</f>
        <v>878.09388389256151</v>
      </c>
      <c r="Q57" s="1">
        <f>(Q15/(B57-Q12))/(1+B57)^10</f>
        <v>10245.411595497333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41</v>
      </c>
      <c r="B59" s="23"/>
      <c r="C59" s="69">
        <v>19</v>
      </c>
      <c r="D59" s="23"/>
      <c r="E59" s="24"/>
    </row>
    <row r="60" spans="1:17" x14ac:dyDescent="0.25">
      <c r="A60" s="25" t="s">
        <v>21</v>
      </c>
      <c r="C60" s="70" t="s">
        <v>40</v>
      </c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575.37287164562542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0</v>
      </c>
    </row>
    <row r="67" spans="1:5" x14ac:dyDescent="0.25">
      <c r="A67" s="25"/>
      <c r="E67" s="61"/>
    </row>
    <row r="68" spans="1:5" x14ac:dyDescent="0.25">
      <c r="A68" s="62" t="s">
        <v>48</v>
      </c>
      <c r="E68" s="63">
        <f>(E66*0.25)*-1</f>
        <v>0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42</v>
      </c>
      <c r="E70" s="60">
        <f>SUM(E62:E68)</f>
        <v>575.37287164562542</v>
      </c>
    </row>
    <row r="71" spans="1:5" x14ac:dyDescent="0.25">
      <c r="A71" s="25"/>
      <c r="E71" s="60"/>
    </row>
    <row r="72" spans="1:5" x14ac:dyDescent="0.25">
      <c r="A72" s="25" t="s">
        <v>43</v>
      </c>
      <c r="E72" s="64">
        <f>E70/C51-1</f>
        <v>1.3578922696730817</v>
      </c>
    </row>
    <row r="73" spans="1:5" x14ac:dyDescent="0.25">
      <c r="A73" s="25"/>
      <c r="E73" s="26"/>
    </row>
    <row r="74" spans="1:5" ht="16.5" thickBot="1" x14ac:dyDescent="0.3">
      <c r="A74" s="65" t="s">
        <v>44</v>
      </c>
      <c r="B74" s="66"/>
      <c r="C74" s="66"/>
      <c r="D74" s="66"/>
      <c r="E74" s="104">
        <f>(E70/C51)^(1/9)-1</f>
        <v>9.9997127252431817E-2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2023-02-04T09:12:56Z</dcterms:modified>
</cp:coreProperties>
</file>